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345" windowHeight="4455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N57" i="1"/>
  <c r="AP76" i="1" l="1"/>
  <c r="U76" i="1"/>
  <c r="AA70" i="1"/>
  <c r="L70" i="1"/>
  <c r="C46" i="1" l="1"/>
  <c r="AG56" i="1"/>
  <c r="U56" i="1"/>
  <c r="AP73" i="1"/>
  <c r="I72" i="1"/>
  <c r="AP69" i="1"/>
  <c r="AP75" i="1"/>
  <c r="C72" i="1"/>
  <c r="AD72" i="1"/>
  <c r="AJ72" i="1"/>
  <c r="AG72" i="1"/>
  <c r="AA72" i="1" l="1"/>
  <c r="R72" i="1"/>
  <c r="O72" i="1"/>
  <c r="L72" i="1"/>
  <c r="F72" i="1"/>
  <c r="AG77" i="1"/>
  <c r="AD77" i="1"/>
  <c r="I77" i="1"/>
  <c r="AJ77" i="1"/>
  <c r="AA77" i="1"/>
  <c r="O77" i="1"/>
  <c r="L77" i="1"/>
  <c r="F77" i="1"/>
  <c r="C77" i="1"/>
  <c r="AH46" i="1"/>
  <c r="V77" i="1"/>
  <c r="V69" i="1"/>
  <c r="V70" i="1"/>
  <c r="V71" i="1"/>
  <c r="V72" i="1"/>
  <c r="V74" i="1"/>
  <c r="V75" i="1"/>
  <c r="V78" i="1"/>
  <c r="V68" i="1"/>
  <c r="U68" i="1"/>
  <c r="U69" i="1"/>
  <c r="U70" i="1"/>
  <c r="U71" i="1"/>
  <c r="AP77" i="1" l="1"/>
  <c r="AP74" i="1" s="1"/>
  <c r="U72" i="1"/>
  <c r="AQ69" i="1"/>
  <c r="AQ70" i="1"/>
  <c r="AQ71" i="1"/>
  <c r="AQ72" i="1"/>
  <c r="AQ74" i="1"/>
  <c r="AQ75" i="1"/>
  <c r="AQ77" i="1"/>
  <c r="AQ78" i="1"/>
  <c r="AP70" i="1"/>
  <c r="AP71" i="1"/>
  <c r="AP72" i="1"/>
  <c r="AP78" i="1"/>
  <c r="AO69" i="1"/>
  <c r="AO70" i="1"/>
  <c r="AO71" i="1"/>
  <c r="AO72" i="1"/>
  <c r="AO74" i="1"/>
  <c r="AO75" i="1"/>
  <c r="AO77" i="1"/>
  <c r="AO78" i="1"/>
  <c r="AQ68" i="1"/>
  <c r="AO68" i="1"/>
  <c r="AP68" i="1"/>
  <c r="U78" i="1"/>
  <c r="U77" i="1"/>
  <c r="U75" i="1"/>
  <c r="U74" i="1"/>
  <c r="AN79" i="1"/>
  <c r="AM79" i="1"/>
  <c r="AL79" i="1"/>
  <c r="AP67" i="1" l="1"/>
  <c r="AA56" i="1"/>
  <c r="AC22" i="1" l="1"/>
  <c r="AJ60" i="1" l="1"/>
  <c r="AG60" i="1"/>
  <c r="AD60" i="1"/>
  <c r="AA60" i="1"/>
  <c r="R60" i="1"/>
  <c r="O60" i="1"/>
  <c r="L60" i="1"/>
  <c r="I60" i="1"/>
  <c r="F60" i="1"/>
  <c r="C60" i="1"/>
  <c r="AA61" i="1"/>
  <c r="AS22" i="1"/>
  <c r="F23" i="1"/>
  <c r="I23" i="1"/>
  <c r="C23" i="1"/>
  <c r="U60" i="1" l="1"/>
  <c r="U59" i="1"/>
  <c r="AS57" i="1" l="1"/>
  <c r="AS62" i="1" s="1"/>
  <c r="I22" i="1" l="1"/>
  <c r="X57" i="1"/>
  <c r="W57" i="1"/>
  <c r="C22" i="1"/>
  <c r="U61" i="1" l="1"/>
  <c r="AG54" i="1" l="1"/>
  <c r="O54" i="1" l="1"/>
  <c r="L33" i="1"/>
  <c r="O57" i="1" l="1"/>
  <c r="I57" i="1"/>
  <c r="AK60" i="1" l="1"/>
  <c r="AK56" i="1"/>
  <c r="AK50" i="1"/>
  <c r="AK46" i="1"/>
  <c r="AK32" i="1"/>
  <c r="AH60" i="1"/>
  <c r="AH56" i="1"/>
  <c r="AH55" i="1"/>
  <c r="AH54" i="1"/>
  <c r="AH53" i="1"/>
  <c r="AH52" i="1"/>
  <c r="AH51" i="1"/>
  <c r="AH50" i="1"/>
  <c r="AH49" i="1"/>
  <c r="AH42" i="1"/>
  <c r="AH37" i="1"/>
  <c r="AH35" i="1"/>
  <c r="AH33" i="1"/>
  <c r="AH29" i="1"/>
  <c r="AE60" i="1"/>
  <c r="AE56" i="1"/>
  <c r="AE55" i="1"/>
  <c r="AE54" i="1"/>
  <c r="AE53" i="1"/>
  <c r="AE52" i="1"/>
  <c r="AE51" i="1"/>
  <c r="AE50" i="1"/>
  <c r="AE49" i="1"/>
  <c r="AE46" i="1"/>
  <c r="AE42" i="1"/>
  <c r="AE37" i="1"/>
  <c r="AE35" i="1"/>
  <c r="AE33" i="1"/>
  <c r="AE29" i="1"/>
  <c r="AB61" i="1"/>
  <c r="AB60" i="1"/>
  <c r="AB56" i="1"/>
  <c r="AB55" i="1"/>
  <c r="AB54" i="1"/>
  <c r="AB53" i="1"/>
  <c r="AB52" i="1"/>
  <c r="AB51" i="1"/>
  <c r="AB50" i="1"/>
  <c r="AB49" i="1"/>
  <c r="AB46" i="1"/>
  <c r="AB42" i="1"/>
  <c r="AB37" i="1"/>
  <c r="AB35" i="1"/>
  <c r="AB33" i="1"/>
  <c r="AB29" i="1"/>
  <c r="Y57" i="1"/>
  <c r="Y62" i="1" s="1"/>
  <c r="S60" i="1"/>
  <c r="S56" i="1"/>
  <c r="S55" i="1"/>
  <c r="S54" i="1"/>
  <c r="S53" i="1"/>
  <c r="S52" i="1"/>
  <c r="S51" i="1"/>
  <c r="S50" i="1"/>
  <c r="S42" i="1"/>
  <c r="S37" i="1"/>
  <c r="S35" i="1"/>
  <c r="S34" i="1"/>
  <c r="S33" i="1"/>
  <c r="S29" i="1"/>
  <c r="P60" i="1"/>
  <c r="P56" i="1"/>
  <c r="P55" i="1"/>
  <c r="P54" i="1"/>
  <c r="P53" i="1"/>
  <c r="P52" i="1"/>
  <c r="P51" i="1"/>
  <c r="P50" i="1"/>
  <c r="P46" i="1"/>
  <c r="P42" i="1"/>
  <c r="P37" i="1"/>
  <c r="P35" i="1"/>
  <c r="P34" i="1"/>
  <c r="P33" i="1"/>
  <c r="P29" i="1"/>
  <c r="M56" i="1"/>
  <c r="M55" i="1"/>
  <c r="M54" i="1"/>
  <c r="M53" i="1"/>
  <c r="M52" i="1"/>
  <c r="M51" i="1"/>
  <c r="M50" i="1"/>
  <c r="M46" i="1"/>
  <c r="M42" i="1"/>
  <c r="M37" i="1"/>
  <c r="M35" i="1"/>
  <c r="M34" i="1"/>
  <c r="M33" i="1"/>
  <c r="M29" i="1"/>
  <c r="J60" i="1"/>
  <c r="J56" i="1"/>
  <c r="J55" i="1"/>
  <c r="J54" i="1"/>
  <c r="J53" i="1"/>
  <c r="J52" i="1"/>
  <c r="J51" i="1"/>
  <c r="J50" i="1"/>
  <c r="J49" i="1"/>
  <c r="J46" i="1"/>
  <c r="J41" i="1"/>
  <c r="J37" i="1"/>
  <c r="J35" i="1"/>
  <c r="J29" i="1"/>
  <c r="G60" i="1"/>
  <c r="G56" i="1"/>
  <c r="G50" i="1"/>
  <c r="G46" i="1"/>
  <c r="D60" i="1"/>
  <c r="D56" i="1"/>
  <c r="D55" i="1"/>
  <c r="D54" i="1"/>
  <c r="D53" i="1"/>
  <c r="D52" i="1"/>
  <c r="D51" i="1"/>
  <c r="D50" i="1"/>
  <c r="D46" i="1"/>
  <c r="D42" i="1"/>
  <c r="D41" i="1"/>
  <c r="D37" i="1"/>
  <c r="D35" i="1"/>
  <c r="D34" i="1"/>
  <c r="D29" i="1"/>
  <c r="C57" i="1"/>
  <c r="C62" i="1" s="1"/>
  <c r="AK23" i="1"/>
  <c r="AK22" i="1"/>
  <c r="AH22" i="1"/>
  <c r="AH63" i="1" s="1"/>
  <c r="AE23" i="1"/>
  <c r="AE22" i="1"/>
  <c r="AB22" i="1"/>
  <c r="AB63" i="1" s="1"/>
  <c r="Y22" i="1"/>
  <c r="Y63" i="1" s="1"/>
  <c r="Y64" i="1" s="1"/>
  <c r="Y66" i="1" s="1"/>
  <c r="Y79" i="1" s="1"/>
  <c r="S15" i="1"/>
  <c r="S14" i="1"/>
  <c r="P22" i="1"/>
  <c r="P63" i="1" s="1"/>
  <c r="M22" i="1"/>
  <c r="M63" i="1" s="1"/>
  <c r="J22" i="1"/>
  <c r="J63" i="1" s="1"/>
  <c r="G23" i="1"/>
  <c r="G15" i="1"/>
  <c r="G22" i="1" s="1"/>
  <c r="D23" i="1"/>
  <c r="D22" i="1"/>
  <c r="AE57" i="1" l="1"/>
  <c r="AE62" i="1" s="1"/>
  <c r="P57" i="1"/>
  <c r="P62" i="1" s="1"/>
  <c r="P64" i="1" s="1"/>
  <c r="P66" i="1" s="1"/>
  <c r="P79" i="1" s="1"/>
  <c r="S22" i="1"/>
  <c r="S63" i="1" s="1"/>
  <c r="AE63" i="1"/>
  <c r="AQ51" i="1"/>
  <c r="G63" i="1"/>
  <c r="AK63" i="1"/>
  <c r="M57" i="1"/>
  <c r="M62" i="1" s="1"/>
  <c r="M64" i="1" s="1"/>
  <c r="M66" i="1" s="1"/>
  <c r="M79" i="1" s="1"/>
  <c r="AB57" i="1"/>
  <c r="AB62" i="1" s="1"/>
  <c r="AB64" i="1" s="1"/>
  <c r="AB66" i="1" s="1"/>
  <c r="AB79" i="1" s="1"/>
  <c r="D63" i="1"/>
  <c r="J57" i="1"/>
  <c r="J62" i="1" s="1"/>
  <c r="J64" i="1" s="1"/>
  <c r="J66" i="1" s="1"/>
  <c r="J79" i="1" s="1"/>
  <c r="AH57" i="1"/>
  <c r="AH62" i="1" s="1"/>
  <c r="AH64" i="1" s="1"/>
  <c r="AH66" i="1" s="1"/>
  <c r="AH79" i="1" s="1"/>
  <c r="AK57" i="1"/>
  <c r="AK62" i="1" s="1"/>
  <c r="S57" i="1"/>
  <c r="S62" i="1" s="1"/>
  <c r="D57" i="1"/>
  <c r="D62" i="1" s="1"/>
  <c r="G57" i="1"/>
  <c r="G62" i="1" s="1"/>
  <c r="G64" i="1" s="1"/>
  <c r="G66" i="1" s="1"/>
  <c r="G79" i="1" s="1"/>
  <c r="S64" i="1" l="1"/>
  <c r="S66" i="1" s="1"/>
  <c r="S79" i="1" s="1"/>
  <c r="AE64" i="1"/>
  <c r="AE66" i="1" s="1"/>
  <c r="AE79" i="1" s="1"/>
  <c r="AK64" i="1"/>
  <c r="AK66" i="1" s="1"/>
  <c r="AK79" i="1" s="1"/>
  <c r="D64" i="1"/>
  <c r="D66" i="1" s="1"/>
  <c r="D79" i="1" s="1"/>
  <c r="AT57" i="1"/>
  <c r="E57" i="1"/>
  <c r="E62" i="1" s="1"/>
  <c r="F57" i="1"/>
  <c r="F62" i="1" s="1"/>
  <c r="H57" i="1"/>
  <c r="H62" i="1" s="1"/>
  <c r="I62" i="1"/>
  <c r="K57" i="1"/>
  <c r="K62" i="1" s="1"/>
  <c r="L57" i="1"/>
  <c r="L62" i="1" s="1"/>
  <c r="N62" i="1"/>
  <c r="O62" i="1"/>
  <c r="Q57" i="1"/>
  <c r="Q62" i="1" s="1"/>
  <c r="R57" i="1"/>
  <c r="R62" i="1" s="1"/>
  <c r="W62" i="1"/>
  <c r="X62" i="1"/>
  <c r="Z57" i="1"/>
  <c r="Z62" i="1" s="1"/>
  <c r="AA57" i="1"/>
  <c r="AA62" i="1" s="1"/>
  <c r="AC57" i="1"/>
  <c r="AC62" i="1" s="1"/>
  <c r="AD57" i="1"/>
  <c r="AD62" i="1" s="1"/>
  <c r="AF57" i="1"/>
  <c r="AF62" i="1" s="1"/>
  <c r="AG57" i="1"/>
  <c r="AG62" i="1" s="1"/>
  <c r="AI57" i="1"/>
  <c r="AI62" i="1" s="1"/>
  <c r="AJ57" i="1"/>
  <c r="AJ62" i="1" s="1"/>
  <c r="B57" i="1"/>
  <c r="AL57" i="1"/>
  <c r="AT22" i="1"/>
  <c r="AL22" i="1"/>
  <c r="AF22" i="1"/>
  <c r="AF63" i="1" s="1"/>
  <c r="AF64" i="1" l="1"/>
  <c r="AF66" i="1" s="1"/>
  <c r="AF79" i="1" s="1"/>
  <c r="AR57" i="1"/>
  <c r="AR62" i="1" s="1"/>
  <c r="AR22" i="1"/>
  <c r="AR63" i="1" s="1"/>
  <c r="AR64" i="1" l="1"/>
  <c r="AR66" i="1" s="1"/>
  <c r="AR79" i="1" s="1"/>
  <c r="AP14" i="1"/>
  <c r="U11" i="1"/>
  <c r="U10" i="1"/>
  <c r="AP38" i="1"/>
  <c r="R22" i="1" l="1"/>
  <c r="R63" i="1" s="1"/>
  <c r="R64" i="1" s="1"/>
  <c r="R66" i="1" s="1"/>
  <c r="R79" i="1" s="1"/>
  <c r="B22" i="1"/>
  <c r="B63" i="1" s="1"/>
  <c r="C63" i="1"/>
  <c r="C64" i="1" s="1"/>
  <c r="C66" i="1" s="1"/>
  <c r="C79" i="1" s="1"/>
  <c r="E22" i="1"/>
  <c r="E63" i="1" s="1"/>
  <c r="E64" i="1" s="1"/>
  <c r="E66" i="1" s="1"/>
  <c r="E79" i="1" s="1"/>
  <c r="F22" i="1"/>
  <c r="F63" i="1" s="1"/>
  <c r="F64" i="1" s="1"/>
  <c r="F66" i="1" s="1"/>
  <c r="F79" i="1" s="1"/>
  <c r="H22" i="1"/>
  <c r="H63" i="1" s="1"/>
  <c r="H64" i="1" s="1"/>
  <c r="H66" i="1" s="1"/>
  <c r="H79" i="1" s="1"/>
  <c r="I63" i="1"/>
  <c r="I64" i="1" s="1"/>
  <c r="I66" i="1" s="1"/>
  <c r="I79" i="1" s="1"/>
  <c r="K22" i="1"/>
  <c r="K63" i="1" s="1"/>
  <c r="K64" i="1" s="1"/>
  <c r="K66" i="1" s="1"/>
  <c r="K79" i="1" s="1"/>
  <c r="L22" i="1"/>
  <c r="L63" i="1" s="1"/>
  <c r="L64" i="1" s="1"/>
  <c r="L66" i="1" s="1"/>
  <c r="L79" i="1" s="1"/>
  <c r="N22" i="1"/>
  <c r="N63" i="1" s="1"/>
  <c r="N64" i="1" s="1"/>
  <c r="N66" i="1" s="1"/>
  <c r="N79" i="1" s="1"/>
  <c r="O22" i="1"/>
  <c r="O63" i="1" s="1"/>
  <c r="O64" i="1" s="1"/>
  <c r="O66" i="1" s="1"/>
  <c r="O79" i="1" s="1"/>
  <c r="Q22" i="1"/>
  <c r="Q63" i="1" s="1"/>
  <c r="Q64" i="1" s="1"/>
  <c r="Q66" i="1" s="1"/>
  <c r="Q79" i="1" s="1"/>
  <c r="X22" i="1"/>
  <c r="X63" i="1" s="1"/>
  <c r="X64" i="1" s="1"/>
  <c r="X66" i="1" s="1"/>
  <c r="X79" i="1" s="1"/>
  <c r="Z22" i="1"/>
  <c r="Z63" i="1" s="1"/>
  <c r="Z64" i="1" s="1"/>
  <c r="Z66" i="1" s="1"/>
  <c r="Z79" i="1" s="1"/>
  <c r="AA22" i="1"/>
  <c r="AA63" i="1" s="1"/>
  <c r="AA64" i="1" s="1"/>
  <c r="AA66" i="1" s="1"/>
  <c r="AA79" i="1" s="1"/>
  <c r="AC63" i="1"/>
  <c r="AC64" i="1" s="1"/>
  <c r="AC66" i="1" s="1"/>
  <c r="AC79" i="1" s="1"/>
  <c r="AD22" i="1"/>
  <c r="AD63" i="1" s="1"/>
  <c r="AD64" i="1" s="1"/>
  <c r="AD66" i="1" s="1"/>
  <c r="AD79" i="1" s="1"/>
  <c r="AG22" i="1"/>
  <c r="AG63" i="1" s="1"/>
  <c r="AG64" i="1" s="1"/>
  <c r="AG66" i="1" s="1"/>
  <c r="AG79" i="1" s="1"/>
  <c r="AI22" i="1"/>
  <c r="AI63" i="1" s="1"/>
  <c r="AI64" i="1" s="1"/>
  <c r="AI66" i="1" s="1"/>
  <c r="AI79" i="1" s="1"/>
  <c r="AJ22" i="1"/>
  <c r="AJ63" i="1" s="1"/>
  <c r="AJ64" i="1" s="1"/>
  <c r="AJ66" i="1" s="1"/>
  <c r="AJ79" i="1" s="1"/>
  <c r="AP66" i="1" l="1"/>
  <c r="AP79" i="1" s="1"/>
  <c r="B62" i="1"/>
  <c r="AF26" i="1"/>
  <c r="T23" i="1"/>
  <c r="AO23" i="1"/>
  <c r="B64" i="1" l="1"/>
  <c r="B66" i="1" s="1"/>
  <c r="B79" i="1" s="1"/>
  <c r="AL63" i="1" l="1"/>
  <c r="AM63" i="1"/>
  <c r="AN63" i="1"/>
  <c r="U58" i="1" l="1"/>
  <c r="AP60" i="1"/>
  <c r="AT62" i="1"/>
  <c r="AQ58" i="1"/>
  <c r="AQ60" i="1"/>
  <c r="AT63" i="1"/>
  <c r="AT64" i="1" l="1"/>
  <c r="AT66" i="1" s="1"/>
  <c r="AT79" i="1" s="1"/>
  <c r="AS64" i="1" l="1"/>
  <c r="AS66" i="1" s="1"/>
  <c r="AS79" i="1" s="1"/>
  <c r="AO109" i="1" l="1"/>
  <c r="AO108" i="1"/>
  <c r="AO107" i="1"/>
  <c r="AO106" i="1"/>
  <c r="AO105" i="1"/>
  <c r="AO104" i="1"/>
  <c r="AO103" i="1"/>
  <c r="AO102" i="1"/>
  <c r="AO101" i="1"/>
  <c r="AO100" i="1"/>
  <c r="AO99" i="1"/>
  <c r="AF98" i="1"/>
  <c r="AC98" i="1"/>
  <c r="W98" i="1"/>
  <c r="T98" i="1"/>
  <c r="N98" i="1"/>
  <c r="K98" i="1"/>
  <c r="H98" i="1"/>
  <c r="E98" i="1"/>
  <c r="B98" i="1"/>
  <c r="AO96" i="1"/>
  <c r="AO95" i="1"/>
  <c r="AO94" i="1"/>
  <c r="AO93" i="1"/>
  <c r="AO92" i="1"/>
  <c r="AO91" i="1"/>
  <c r="AO90" i="1"/>
  <c r="AO89" i="1"/>
  <c r="AO87" i="1"/>
  <c r="T87" i="1"/>
  <c r="AO86" i="1"/>
  <c r="AO85" i="1"/>
  <c r="AO84" i="1"/>
  <c r="AO83" i="1"/>
  <c r="AF82" i="1"/>
  <c r="AC82" i="1"/>
  <c r="Z82" i="1"/>
  <c r="W82" i="1"/>
  <c r="N82" i="1"/>
  <c r="K82" i="1"/>
  <c r="H82" i="1"/>
  <c r="E82" i="1"/>
  <c r="B82" i="1"/>
  <c r="AQ65" i="1"/>
  <c r="AP65" i="1"/>
  <c r="AO65" i="1"/>
  <c r="V65" i="1"/>
  <c r="U65" i="1"/>
  <c r="T65" i="1"/>
  <c r="AQ61" i="1"/>
  <c r="AP61" i="1"/>
  <c r="AO61" i="1"/>
  <c r="V61" i="1"/>
  <c r="T61" i="1"/>
  <c r="AO60" i="1"/>
  <c r="V60" i="1"/>
  <c r="T60" i="1"/>
  <c r="AQ59" i="1"/>
  <c r="AP59" i="1"/>
  <c r="AO59" i="1"/>
  <c r="V59" i="1"/>
  <c r="T59" i="1"/>
  <c r="AP58" i="1"/>
  <c r="AO58" i="1"/>
  <c r="V58" i="1"/>
  <c r="T58" i="1"/>
  <c r="AQ56" i="1"/>
  <c r="AP56" i="1"/>
  <c r="AO56" i="1"/>
  <c r="V56" i="1"/>
  <c r="T56" i="1"/>
  <c r="AQ55" i="1"/>
  <c r="AP55" i="1"/>
  <c r="AO55" i="1"/>
  <c r="V55" i="1"/>
  <c r="U55" i="1"/>
  <c r="T55" i="1"/>
  <c r="AQ54" i="1"/>
  <c r="AP54" i="1"/>
  <c r="AO54" i="1"/>
  <c r="V54" i="1"/>
  <c r="U54" i="1"/>
  <c r="T54" i="1"/>
  <c r="AQ53" i="1"/>
  <c r="AP53" i="1"/>
  <c r="AO53" i="1"/>
  <c r="V53" i="1"/>
  <c r="U53" i="1"/>
  <c r="T53" i="1"/>
  <c r="AQ52" i="1"/>
  <c r="AP52" i="1"/>
  <c r="AO52" i="1"/>
  <c r="V52" i="1"/>
  <c r="U52" i="1"/>
  <c r="T52" i="1"/>
  <c r="AP51" i="1"/>
  <c r="AO51" i="1"/>
  <c r="V51" i="1"/>
  <c r="U51" i="1"/>
  <c r="T51" i="1"/>
  <c r="AQ50" i="1"/>
  <c r="AP50" i="1"/>
  <c r="AO50" i="1"/>
  <c r="V50" i="1"/>
  <c r="U50" i="1"/>
  <c r="T50" i="1"/>
  <c r="AQ49" i="1"/>
  <c r="AP49" i="1"/>
  <c r="AO49" i="1"/>
  <c r="V49" i="1"/>
  <c r="U49" i="1"/>
  <c r="T49" i="1"/>
  <c r="AQ48" i="1"/>
  <c r="AP48" i="1"/>
  <c r="AO48" i="1"/>
  <c r="V48" i="1"/>
  <c r="U48" i="1"/>
  <c r="T48" i="1"/>
  <c r="AQ47" i="1"/>
  <c r="AP47" i="1"/>
  <c r="AO47" i="1"/>
  <c r="V47" i="1"/>
  <c r="U47" i="1"/>
  <c r="T47" i="1"/>
  <c r="AQ46" i="1"/>
  <c r="AP46" i="1"/>
  <c r="AO46" i="1"/>
  <c r="V46" i="1"/>
  <c r="U46" i="1"/>
  <c r="T46" i="1"/>
  <c r="AQ45" i="1"/>
  <c r="AP45" i="1"/>
  <c r="V45" i="1"/>
  <c r="U45" i="1"/>
  <c r="T45" i="1"/>
  <c r="AQ44" i="1"/>
  <c r="AP44" i="1"/>
  <c r="V44" i="1"/>
  <c r="U44" i="1"/>
  <c r="T44" i="1"/>
  <c r="AQ43" i="1"/>
  <c r="AP43" i="1"/>
  <c r="AO43" i="1"/>
  <c r="V43" i="1"/>
  <c r="U43" i="1"/>
  <c r="T43" i="1"/>
  <c r="AQ42" i="1"/>
  <c r="AP42" i="1"/>
  <c r="AO42" i="1"/>
  <c r="V42" i="1"/>
  <c r="U42" i="1"/>
  <c r="T42" i="1"/>
  <c r="AQ41" i="1"/>
  <c r="AP41" i="1"/>
  <c r="AO41" i="1"/>
  <c r="V41" i="1"/>
  <c r="U41" i="1"/>
  <c r="T41" i="1"/>
  <c r="AQ40" i="1"/>
  <c r="AP40" i="1"/>
  <c r="AO40" i="1"/>
  <c r="V40" i="1"/>
  <c r="U40" i="1"/>
  <c r="T40" i="1"/>
  <c r="AQ39" i="1"/>
  <c r="AP39" i="1"/>
  <c r="AO39" i="1"/>
  <c r="V39" i="1"/>
  <c r="U39" i="1"/>
  <c r="T39" i="1"/>
  <c r="AQ38" i="1"/>
  <c r="AO38" i="1"/>
  <c r="V38" i="1"/>
  <c r="U38" i="1"/>
  <c r="T38" i="1"/>
  <c r="AQ37" i="1"/>
  <c r="AP37" i="1"/>
  <c r="AO37" i="1"/>
  <c r="V37" i="1"/>
  <c r="U37" i="1"/>
  <c r="T37" i="1"/>
  <c r="AQ36" i="1"/>
  <c r="AP36" i="1"/>
  <c r="AO36" i="1"/>
  <c r="V36" i="1"/>
  <c r="U36" i="1"/>
  <c r="T36" i="1"/>
  <c r="AQ35" i="1"/>
  <c r="AP35" i="1"/>
  <c r="AO35" i="1"/>
  <c r="V35" i="1"/>
  <c r="U35" i="1"/>
  <c r="T35" i="1"/>
  <c r="AQ34" i="1"/>
  <c r="AP34" i="1"/>
  <c r="AO34" i="1"/>
  <c r="V34" i="1"/>
  <c r="U34" i="1"/>
  <c r="T34" i="1"/>
  <c r="AQ33" i="1"/>
  <c r="AP33" i="1"/>
  <c r="AO33" i="1"/>
  <c r="V33" i="1"/>
  <c r="U33" i="1"/>
  <c r="T33" i="1"/>
  <c r="AQ32" i="1"/>
  <c r="AP32" i="1"/>
  <c r="AO32" i="1"/>
  <c r="V32" i="1"/>
  <c r="U32" i="1"/>
  <c r="T32" i="1"/>
  <c r="AQ31" i="1"/>
  <c r="AP31" i="1"/>
  <c r="AO31" i="1"/>
  <c r="V31" i="1"/>
  <c r="U31" i="1"/>
  <c r="T31" i="1"/>
  <c r="AQ30" i="1"/>
  <c r="AP30" i="1"/>
  <c r="AO30" i="1"/>
  <c r="V30" i="1"/>
  <c r="U30" i="1"/>
  <c r="T30" i="1"/>
  <c r="AQ29" i="1"/>
  <c r="AP29" i="1"/>
  <c r="AO29" i="1"/>
  <c r="V29" i="1"/>
  <c r="U29" i="1"/>
  <c r="T29" i="1"/>
  <c r="AQ23" i="1"/>
  <c r="AP23" i="1"/>
  <c r="V23" i="1"/>
  <c r="U23" i="1"/>
  <c r="AQ21" i="1"/>
  <c r="AP21" i="1"/>
  <c r="V21" i="1"/>
  <c r="U21" i="1"/>
  <c r="T21" i="1"/>
  <c r="AQ20" i="1"/>
  <c r="AP20" i="1"/>
  <c r="V20" i="1"/>
  <c r="U20" i="1"/>
  <c r="T20" i="1"/>
  <c r="AQ19" i="1"/>
  <c r="AP19" i="1"/>
  <c r="AO19" i="1"/>
  <c r="V19" i="1"/>
  <c r="U19" i="1"/>
  <c r="T19" i="1"/>
  <c r="AQ18" i="1"/>
  <c r="AO18" i="1"/>
  <c r="V18" i="1"/>
  <c r="U18" i="1"/>
  <c r="T18" i="1"/>
  <c r="AQ17" i="1"/>
  <c r="AP17" i="1"/>
  <c r="AO17" i="1"/>
  <c r="V17" i="1"/>
  <c r="U17" i="1"/>
  <c r="T17" i="1"/>
  <c r="AQ16" i="1"/>
  <c r="AP16" i="1"/>
  <c r="AO16" i="1"/>
  <c r="V16" i="1"/>
  <c r="U16" i="1"/>
  <c r="T16" i="1"/>
  <c r="AQ15" i="1"/>
  <c r="AP15" i="1"/>
  <c r="AO15" i="1"/>
  <c r="V15" i="1"/>
  <c r="U15" i="1"/>
  <c r="T15" i="1"/>
  <c r="AQ14" i="1"/>
  <c r="AO14" i="1"/>
  <c r="V14" i="1"/>
  <c r="U14" i="1"/>
  <c r="T14" i="1"/>
  <c r="AQ12" i="1"/>
  <c r="AP12" i="1"/>
  <c r="AO12" i="1"/>
  <c r="V12" i="1"/>
  <c r="U12" i="1"/>
  <c r="T12" i="1"/>
  <c r="AQ11" i="1"/>
  <c r="AP11" i="1"/>
  <c r="AO11" i="1"/>
  <c r="V11" i="1"/>
  <c r="T11" i="1"/>
  <c r="AQ10" i="1"/>
  <c r="AP10" i="1"/>
  <c r="AO10" i="1"/>
  <c r="V10" i="1"/>
  <c r="T10" i="1"/>
  <c r="T57" i="1" l="1"/>
  <c r="T62" i="1" s="1"/>
  <c r="V57" i="1"/>
  <c r="V62" i="1" s="1"/>
  <c r="U57" i="1"/>
  <c r="U62" i="1" s="1"/>
  <c r="T22" i="1"/>
  <c r="T63" i="1" s="1"/>
  <c r="V22" i="1"/>
  <c r="V63" i="1" s="1"/>
  <c r="U22" i="1"/>
  <c r="U63" i="1" s="1"/>
  <c r="AQ22" i="1"/>
  <c r="AQ63" i="1" s="1"/>
  <c r="W20" i="1"/>
  <c r="T82" i="1"/>
  <c r="AP18" i="1"/>
  <c r="AO21" i="1"/>
  <c r="AO45" i="1"/>
  <c r="AP22" i="1"/>
  <c r="AP63" i="1" s="1"/>
  <c r="AO82" i="1"/>
  <c r="AO98" i="1"/>
  <c r="T64" i="1" l="1"/>
  <c r="T66" i="1" s="1"/>
  <c r="T79" i="1" s="1"/>
  <c r="V64" i="1"/>
  <c r="V66" i="1" s="1"/>
  <c r="V79" i="1" s="1"/>
  <c r="U64" i="1"/>
  <c r="U66" i="1" s="1"/>
  <c r="U79" i="1" s="1"/>
  <c r="W22" i="1"/>
  <c r="W63" i="1" s="1"/>
  <c r="W64" i="1" s="1"/>
  <c r="W66" i="1" s="1"/>
  <c r="W79" i="1" s="1"/>
  <c r="H110" i="1"/>
  <c r="E110" i="1"/>
  <c r="AF110" i="1"/>
  <c r="AC110" i="1"/>
  <c r="Q110" i="1"/>
  <c r="AI110" i="1"/>
  <c r="Z110" i="1"/>
  <c r="AO44" i="1"/>
  <c r="AQ57" i="1"/>
  <c r="AP62" i="1"/>
  <c r="AP57" i="1"/>
  <c r="AO20" i="1"/>
  <c r="N110" i="1" l="1"/>
  <c r="AQ62" i="1"/>
  <c r="AO57" i="1"/>
  <c r="AO22" i="1"/>
  <c r="AO63" i="1" s="1"/>
  <c r="AP64" i="1"/>
  <c r="AQ66" i="1" l="1"/>
  <c r="AQ79" i="1" s="1"/>
  <c r="AO62" i="1"/>
  <c r="AQ64" i="1"/>
  <c r="AO64" i="1"/>
  <c r="K110" i="1" l="1"/>
  <c r="W110" i="1"/>
  <c r="T110" i="1"/>
  <c r="B110" i="1"/>
  <c r="AO66" i="1"/>
  <c r="AO79" i="1" s="1"/>
  <c r="AO110" i="1" l="1"/>
</calcChain>
</file>

<file path=xl/sharedStrings.xml><?xml version="1.0" encoding="utf-8"?>
<sst xmlns="http://schemas.openxmlformats.org/spreadsheetml/2006/main" count="239" uniqueCount="116">
  <si>
    <t>Hajdúkerületi és Bihari Víziközmű Szolgáltató  Zrt.</t>
  </si>
  <si>
    <t>Bevétel:</t>
  </si>
  <si>
    <t>Megnevezés</t>
  </si>
  <si>
    <t xml:space="preserve">Hajdúböszörmény </t>
  </si>
  <si>
    <t>Hajdúszoboszló</t>
  </si>
  <si>
    <t>%
(bázis 2013)</t>
  </si>
  <si>
    <t>Berettyóújfalu</t>
  </si>
  <si>
    <t>Hajdúhadház</t>
  </si>
  <si>
    <t>Téglás</t>
  </si>
  <si>
    <t>Bocskaikert</t>
  </si>
  <si>
    <t>ellenőrző</t>
  </si>
  <si>
    <t>Hhadház, Téglás, Bkert</t>
  </si>
  <si>
    <t>Tiszavasvári Szorgalmatos</t>
  </si>
  <si>
    <t>Polgár</t>
  </si>
  <si>
    <t>Hajdúdorog</t>
  </si>
  <si>
    <t xml:space="preserve">Földes </t>
  </si>
  <si>
    <t>Központ</t>
  </si>
  <si>
    <t xml:space="preserve">HBVSZ Zrt. </t>
  </si>
  <si>
    <t>2016. terv</t>
  </si>
  <si>
    <r>
      <rPr>
        <b/>
        <u/>
        <sz val="10"/>
        <rFont val="Arial"/>
        <family val="2"/>
        <charset val="1"/>
      </rPr>
      <t>ALAPADATOK</t>
    </r>
    <r>
      <rPr>
        <b/>
        <sz val="10"/>
        <rFont val="Arial Black"/>
        <family val="2"/>
        <charset val="238"/>
      </rPr>
      <t xml:space="preserve"> :</t>
    </r>
  </si>
  <si>
    <t>Ivóvíz értékesítés               m3</t>
  </si>
  <si>
    <t>Szennyvízelvezetés           m3</t>
  </si>
  <si>
    <t>Fogyasztói egyenérték-szám</t>
  </si>
  <si>
    <t>ÁRBEVÉTELEK :</t>
  </si>
  <si>
    <t xml:space="preserve">Vízdíjbevételek:   </t>
  </si>
  <si>
    <t xml:space="preserve">Csatornadíjak: </t>
  </si>
  <si>
    <t>Szipp.sz.víz elh.bev.-e</t>
  </si>
  <si>
    <t>Megrendeléses munka víz</t>
  </si>
  <si>
    <t>Megrendeléses munka szennyvíz</t>
  </si>
  <si>
    <t>Átvett szennyvíz</t>
  </si>
  <si>
    <t>Árbevétel mindösszesen:</t>
  </si>
  <si>
    <t>Saját rezsi beruházás akt.értéke</t>
  </si>
  <si>
    <t>Hajdúkerületi és Bihari Víziközmű Szolgáltató Zrt.</t>
  </si>
  <si>
    <t>Költségek összesen</t>
  </si>
  <si>
    <t>Műszaki anyag</t>
  </si>
  <si>
    <t>Vegyi anyag</t>
  </si>
  <si>
    <t>Villanyáram</t>
  </si>
  <si>
    <t>Gáz</t>
  </si>
  <si>
    <t>Üzemanyag</t>
  </si>
  <si>
    <t>Nyomtatvány, irodaszer</t>
  </si>
  <si>
    <t>Egyéb anyag, fogyóeszköz</t>
  </si>
  <si>
    <t>Átvett víz</t>
  </si>
  <si>
    <t>Javítás, szervizkts.</t>
  </si>
  <si>
    <t>víziközmű vagyon bérleti dij</t>
  </si>
  <si>
    <t xml:space="preserve">Egyéb bérleti dij </t>
  </si>
  <si>
    <t>Szállítási kts.</t>
  </si>
  <si>
    <t>Utazási, kiküld. kts.</t>
  </si>
  <si>
    <t>Posta, telefon</t>
  </si>
  <si>
    <t>Laborvizsgálati díj</t>
  </si>
  <si>
    <t>Szakértői díjak</t>
  </si>
  <si>
    <t>Átadott szennyvíz költsége</t>
  </si>
  <si>
    <t>Ig.bevett egyéb.szolg.</t>
  </si>
  <si>
    <t>Vízhaszn.és körny.terh.d</t>
  </si>
  <si>
    <t>Bankköltség</t>
  </si>
  <si>
    <t>Biztosítási díj</t>
  </si>
  <si>
    <t>Egyéb szolg.(hatósági.díj)</t>
  </si>
  <si>
    <t>Munkabér kts.</t>
  </si>
  <si>
    <t>Bérjárulék+eho.+szkhj</t>
  </si>
  <si>
    <t>Bérjellegű egyéb ktg</t>
  </si>
  <si>
    <t>cafetéria</t>
  </si>
  <si>
    <t>Bérjell-kts.-ek Szja.,Eho-ja</t>
  </si>
  <si>
    <t>Értékcsökk. leírás</t>
  </si>
  <si>
    <t>Közműadó (125,- Ft/fm)</t>
  </si>
  <si>
    <t>Ellenőrz. díj (150,- Ft/ feé.)</t>
  </si>
  <si>
    <t>Összes üzemegység költség</t>
  </si>
  <si>
    <t>ÁRBEVÉTEL+Saját rezsis beruházás össz.:</t>
  </si>
  <si>
    <t>Üzemi eredmény</t>
  </si>
  <si>
    <t>Általános költség (m3.ar.)</t>
  </si>
  <si>
    <t>EGYÉB RÁFORDÍTÁSOK</t>
  </si>
  <si>
    <t>Ért.tárgyi eszközök</t>
  </si>
  <si>
    <t>Egyéb közvetített szolg.</t>
  </si>
  <si>
    <t>Káreseményhez kapcs. kifiz</t>
  </si>
  <si>
    <t>Bírság kötbér fekbér késed.kamat</t>
  </si>
  <si>
    <t>Szennyvízbírság</t>
  </si>
  <si>
    <t>Behajthatatlan követelés</t>
  </si>
  <si>
    <t>Kerekítések</t>
  </si>
  <si>
    <t>Külön. egyéb ráfor.Vízdij</t>
  </si>
  <si>
    <t>Pénzintézetnek fiz kamat</t>
  </si>
  <si>
    <t>Árfolyam veszteség</t>
  </si>
  <si>
    <t>Látvány csapatsport támogatás</t>
  </si>
  <si>
    <t>Behajtási költségáltalány</t>
  </si>
  <si>
    <t>ELÁBÉ</t>
  </si>
  <si>
    <t>EGYÉB BEVÉTELEK</t>
  </si>
  <si>
    <t>Káreseményekkel kapcsolatos kártérítés</t>
  </si>
  <si>
    <t>Kapott bírság kötbér késed kamat</t>
  </si>
  <si>
    <t>Költs.ellentét.kapott tám</t>
  </si>
  <si>
    <t>Munkabér és járul.támogatás</t>
  </si>
  <si>
    <t>Behajtási ktg megtérülése</t>
  </si>
  <si>
    <t>Kül.egyéb bevétel</t>
  </si>
  <si>
    <t>Kapott kamat, árfolyam nyereség</t>
  </si>
  <si>
    <t>TRV kintlev.besz. Egyéb bev</t>
  </si>
  <si>
    <t>Leltártöbblet</t>
  </si>
  <si>
    <t>Adózás előtti eredmény</t>
  </si>
  <si>
    <t xml:space="preserve">                  Will Csaba                                      Bodnár Judit </t>
  </si>
  <si>
    <t xml:space="preserve">             Igagatóság elnöke                           gazdasági igazgató</t>
  </si>
  <si>
    <t>Egyéb bevételek</t>
  </si>
  <si>
    <t>Pü müveletek bevételei</t>
  </si>
  <si>
    <t>Egyéb ráfordítások</t>
  </si>
  <si>
    <t>Behajthatatlan követelés  leírása</t>
  </si>
  <si>
    <t>Kp.ált.ktg-gel csökkentett vállalkozási eredmény:</t>
  </si>
  <si>
    <t>Ért. Tárgyi eszköz költsége</t>
  </si>
  <si>
    <t>Ért  tárgyi eszköz bevétele</t>
  </si>
  <si>
    <t>2017. év</t>
  </si>
  <si>
    <t>2016. év</t>
  </si>
  <si>
    <t>Helyi adók (ip.űzési, gjmű) 2016 évvel egyező</t>
  </si>
  <si>
    <t>Innovációs járulék 2016 évvel egyező</t>
  </si>
  <si>
    <t>Egyéb térítés ell.végzett szolg.</t>
  </si>
  <si>
    <t>Értékvesztés</t>
  </si>
  <si>
    <t>Előző évi helyesbítés KözműFHJ</t>
  </si>
  <si>
    <t>Elengedett követelés</t>
  </si>
  <si>
    <t>értékvesztés</t>
  </si>
  <si>
    <t>ELÁBÉ közvetített szolgáltatás</t>
  </si>
  <si>
    <t>Értékvesztés visszaírása</t>
  </si>
  <si>
    <t>2017 évi. Értékelés</t>
  </si>
  <si>
    <t>2018. terv</t>
  </si>
  <si>
    <t>Hajdúböszörmény,  2018. május 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</si>
</sst>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\ #,##0&quot;     &quot;;\-#,##0&quot;     &quot;;&quot; -&quot;#&quot;     &quot;;@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b/>
      <u/>
      <sz val="12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10"/>
      <name val="Arial CE"/>
      <family val="2"/>
      <charset val="238"/>
    </font>
    <font>
      <b/>
      <u/>
      <sz val="10"/>
      <name val="Arial"/>
      <family val="2"/>
      <charset val="1"/>
    </font>
    <font>
      <b/>
      <sz val="10"/>
      <name val="Arial Black"/>
      <family val="2"/>
      <charset val="238"/>
    </font>
    <font>
      <sz val="9"/>
      <name val="Arial"/>
      <family val="2"/>
      <charset val="238"/>
    </font>
    <font>
      <b/>
      <u/>
      <sz val="10"/>
      <name val="Arial CE"/>
      <family val="2"/>
      <charset val="238"/>
    </font>
    <font>
      <b/>
      <sz val="8"/>
      <name val="Arial"/>
      <family val="2"/>
      <charset val="1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Fill="1" applyBorder="1"/>
    <xf numFmtId="3" fontId="2" fillId="0" borderId="0" xfId="1" applyNumberFormat="1" applyFont="1" applyFill="1" applyBorder="1" applyAlignment="1" applyProtection="1"/>
    <xf numFmtId="3" fontId="2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3" fontId="3" fillId="0" borderId="0" xfId="1" applyNumberFormat="1" applyFont="1" applyFill="1" applyBorder="1" applyAlignment="1" applyProtection="1"/>
    <xf numFmtId="3" fontId="4" fillId="0" borderId="0" xfId="1" applyNumberFormat="1" applyFont="1" applyFill="1" applyBorder="1" applyAlignment="1" applyProtection="1"/>
    <xf numFmtId="3" fontId="5" fillId="0" borderId="0" xfId="1" applyNumberFormat="1" applyFont="1" applyFill="1" applyBorder="1" applyAlignment="1" applyProtection="1"/>
    <xf numFmtId="0" fontId="4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1" applyNumberFormat="1" applyFont="1" applyFill="1" applyBorder="1" applyAlignment="1" applyProtection="1"/>
    <xf numFmtId="0" fontId="6" fillId="0" borderId="0" xfId="0" applyFont="1" applyFill="1" applyBorder="1" applyAlignment="1">
      <alignment wrapText="1"/>
    </xf>
    <xf numFmtId="164" fontId="6" fillId="0" borderId="0" xfId="1" applyNumberFormat="1" applyFont="1" applyFill="1" applyBorder="1" applyAlignment="1" applyProtection="1"/>
    <xf numFmtId="3" fontId="7" fillId="0" borderId="0" xfId="0" applyNumberFormat="1" applyFont="1" applyFill="1"/>
    <xf numFmtId="0" fontId="7" fillId="0" borderId="0" xfId="0" applyFont="1" applyFill="1"/>
    <xf numFmtId="0" fontId="9" fillId="0" borderId="0" xfId="0" applyFont="1" applyFill="1"/>
    <xf numFmtId="1" fontId="7" fillId="0" borderId="1" xfId="0" applyNumberFormat="1" applyFont="1" applyFill="1" applyBorder="1"/>
    <xf numFmtId="1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1" fontId="7" fillId="0" borderId="0" xfId="0" applyNumberFormat="1" applyFont="1" applyFill="1"/>
    <xf numFmtId="1" fontId="9" fillId="0" borderId="0" xfId="0" applyNumberFormat="1" applyFont="1" applyFill="1"/>
    <xf numFmtId="3" fontId="8" fillId="0" borderId="1" xfId="1" applyNumberFormat="1" applyFont="1" applyFill="1" applyBorder="1" applyAlignment="1" applyProtection="1">
      <alignment horizontal="right"/>
    </xf>
    <xf numFmtId="3" fontId="7" fillId="0" borderId="1" xfId="0" applyNumberFormat="1" applyFont="1" applyFill="1" applyBorder="1"/>
    <xf numFmtId="3" fontId="0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7" fillId="0" borderId="1" xfId="0" applyFont="1" applyFill="1" applyBorder="1"/>
    <xf numFmtId="0" fontId="10" fillId="0" borderId="0" xfId="0" applyFont="1" applyFill="1"/>
    <xf numFmtId="0" fontId="13" fillId="0" borderId="0" xfId="0" applyFont="1" applyFill="1"/>
    <xf numFmtId="0" fontId="2" fillId="0" borderId="1" xfId="0" applyFont="1" applyFill="1" applyBorder="1"/>
    <xf numFmtId="3" fontId="8" fillId="0" borderId="3" xfId="0" applyNumberFormat="1" applyFont="1" applyFill="1" applyBorder="1" applyAlignment="1">
      <alignment horizontal="right"/>
    </xf>
    <xf numFmtId="1" fontId="8" fillId="0" borderId="2" xfId="0" applyNumberFormat="1" applyFont="1" applyFill="1" applyBorder="1" applyAlignment="1">
      <alignment horizontal="center"/>
    </xf>
    <xf numFmtId="0" fontId="0" fillId="0" borderId="0" xfId="0" applyFont="1" applyFill="1"/>
    <xf numFmtId="3" fontId="2" fillId="0" borderId="0" xfId="0" applyNumberFormat="1" applyFont="1" applyFill="1" applyAlignment="1">
      <alignment horizontal="right"/>
    </xf>
    <xf numFmtId="0" fontId="15" fillId="0" borderId="1" xfId="0" applyFont="1" applyFill="1" applyBorder="1"/>
    <xf numFmtId="0" fontId="0" fillId="0" borderId="1" xfId="0" applyFont="1" applyFill="1" applyBorder="1"/>
    <xf numFmtId="0" fontId="0" fillId="0" borderId="1" xfId="0" applyFill="1" applyBorder="1"/>
    <xf numFmtId="3" fontId="2" fillId="0" borderId="0" xfId="1" applyNumberFormat="1" applyFont="1" applyFill="1" applyBorder="1" applyAlignment="1" applyProtection="1">
      <alignment horizontal="right"/>
    </xf>
    <xf numFmtId="3" fontId="7" fillId="0" borderId="0" xfId="1" applyNumberFormat="1" applyFont="1" applyFill="1" applyBorder="1" applyAlignment="1" applyProtection="1"/>
    <xf numFmtId="0" fontId="2" fillId="0" borderId="0" xfId="0" applyFont="1"/>
    <xf numFmtId="3" fontId="2" fillId="2" borderId="0" xfId="1" applyNumberFormat="1" applyFont="1" applyFill="1" applyBorder="1" applyAlignment="1" applyProtection="1"/>
    <xf numFmtId="3" fontId="4" fillId="2" borderId="0" xfId="1" applyNumberFormat="1" applyFont="1" applyFill="1" applyBorder="1" applyAlignment="1" applyProtection="1"/>
    <xf numFmtId="3" fontId="3" fillId="2" borderId="0" xfId="1" applyNumberFormat="1" applyFont="1" applyFill="1" applyBorder="1" applyAlignment="1" applyProtection="1"/>
    <xf numFmtId="1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right"/>
    </xf>
    <xf numFmtId="0" fontId="0" fillId="2" borderId="1" xfId="0" applyFont="1" applyFill="1" applyBorder="1"/>
    <xf numFmtId="3" fontId="2" fillId="2" borderId="0" xfId="1" applyNumberFormat="1" applyFont="1" applyFill="1" applyBorder="1" applyAlignment="1" applyProtection="1">
      <alignment horizontal="right"/>
    </xf>
    <xf numFmtId="3" fontId="7" fillId="2" borderId="0" xfId="1" applyNumberFormat="1" applyFont="1" applyFill="1" applyBorder="1" applyAlignment="1" applyProtection="1"/>
    <xf numFmtId="3" fontId="2" fillId="2" borderId="0" xfId="0" applyNumberFormat="1" applyFont="1" applyFill="1"/>
    <xf numFmtId="0" fontId="0" fillId="2" borderId="0" xfId="0" applyFill="1"/>
    <xf numFmtId="1" fontId="8" fillId="2" borderId="2" xfId="0" applyNumberFormat="1" applyFont="1" applyFill="1" applyBorder="1" applyAlignment="1">
      <alignment horizontal="center"/>
    </xf>
    <xf numFmtId="0" fontId="0" fillId="2" borderId="1" xfId="0" applyFill="1" applyBorder="1"/>
    <xf numFmtId="3" fontId="8" fillId="2" borderId="3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left"/>
    </xf>
    <xf numFmtId="3" fontId="8" fillId="0" borderId="3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3" fontId="8" fillId="0" borderId="3" xfId="1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left"/>
    </xf>
    <xf numFmtId="3" fontId="7" fillId="0" borderId="4" xfId="0" applyNumberFormat="1" applyFont="1" applyFill="1" applyBorder="1"/>
    <xf numFmtId="1" fontId="7" fillId="0" borderId="4" xfId="0" applyNumberFormat="1" applyFont="1" applyFill="1" applyBorder="1"/>
    <xf numFmtId="3" fontId="8" fillId="0" borderId="4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 wrapText="1"/>
    </xf>
    <xf numFmtId="0" fontId="0" fillId="0" borderId="4" xfId="0" applyBorder="1"/>
    <xf numFmtId="3" fontId="8" fillId="0" borderId="4" xfId="0" applyNumberFormat="1" applyFont="1" applyFill="1" applyBorder="1"/>
    <xf numFmtId="3" fontId="8" fillId="0" borderId="4" xfId="1" applyNumberFormat="1" applyFont="1" applyFill="1" applyBorder="1" applyAlignment="1" applyProtection="1"/>
    <xf numFmtId="3" fontId="8" fillId="2" borderId="4" xfId="1" applyNumberFormat="1" applyFont="1" applyFill="1" applyBorder="1" applyAlignment="1" applyProtection="1"/>
    <xf numFmtId="3" fontId="8" fillId="0" borderId="4" xfId="1" applyNumberFormat="1" applyFont="1" applyFill="1" applyBorder="1" applyAlignment="1" applyProtection="1">
      <alignment horizontal="right"/>
    </xf>
    <xf numFmtId="0" fontId="4" fillId="0" borderId="4" xfId="0" applyFont="1" applyFill="1" applyBorder="1"/>
    <xf numFmtId="3" fontId="8" fillId="0" borderId="4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2" fillId="0" borderId="4" xfId="1" applyNumberFormat="1" applyFont="1" applyFill="1" applyBorder="1" applyAlignment="1" applyProtection="1">
      <alignment horizontal="right"/>
    </xf>
    <xf numFmtId="3" fontId="12" fillId="0" borderId="4" xfId="0" applyNumberFormat="1" applyFont="1" applyFill="1" applyBorder="1"/>
    <xf numFmtId="3" fontId="0" fillId="2" borderId="4" xfId="0" applyNumberFormat="1" applyFont="1" applyFill="1" applyBorder="1"/>
    <xf numFmtId="0" fontId="4" fillId="0" borderId="4" xfId="0" applyFont="1" applyFill="1" applyBorder="1" applyAlignment="1">
      <alignment wrapText="1"/>
    </xf>
    <xf numFmtId="0" fontId="10" fillId="0" borderId="4" xfId="0" applyFont="1" applyFill="1" applyBorder="1"/>
    <xf numFmtId="3" fontId="2" fillId="0" borderId="4" xfId="0" applyNumberFormat="1" applyFont="1" applyFill="1" applyBorder="1"/>
    <xf numFmtId="0" fontId="7" fillId="0" borderId="4" xfId="0" applyFont="1" applyFill="1" applyBorder="1"/>
    <xf numFmtId="0" fontId="10" fillId="0" borderId="4" xfId="0" applyFont="1" applyFill="1" applyBorder="1" applyAlignment="1">
      <alignment horizontal="left"/>
    </xf>
    <xf numFmtId="0" fontId="2" fillId="0" borderId="4" xfId="0" applyFont="1" applyFill="1" applyBorder="1"/>
    <xf numFmtId="3" fontId="8" fillId="2" borderId="4" xfId="0" applyNumberFormat="1" applyFont="1" applyFill="1" applyBorder="1"/>
    <xf numFmtId="164" fontId="6" fillId="0" borderId="4" xfId="1" applyNumberFormat="1" applyFont="1" applyFill="1" applyBorder="1" applyAlignment="1" applyProtection="1"/>
    <xf numFmtId="3" fontId="4" fillId="0" borderId="4" xfId="1" applyNumberFormat="1" applyFont="1" applyFill="1" applyBorder="1" applyAlignment="1" applyProtection="1">
      <alignment horizontal="left"/>
    </xf>
    <xf numFmtId="3" fontId="7" fillId="0" borderId="4" xfId="1" applyNumberFormat="1" applyFont="1" applyFill="1" applyBorder="1" applyAlignment="1" applyProtection="1">
      <alignment horizontal="left"/>
    </xf>
    <xf numFmtId="3" fontId="8" fillId="0" borderId="4" xfId="1" applyNumberFormat="1" applyFont="1" applyFill="1" applyBorder="1" applyAlignment="1" applyProtection="1">
      <alignment horizontal="left"/>
    </xf>
    <xf numFmtId="3" fontId="14" fillId="0" borderId="4" xfId="1" applyNumberFormat="1" applyFont="1" applyFill="1" applyBorder="1" applyAlignment="1" applyProtection="1">
      <alignment horizontal="left"/>
    </xf>
    <xf numFmtId="3" fontId="5" fillId="0" borderId="4" xfId="1" applyNumberFormat="1" applyFont="1" applyFill="1" applyBorder="1" applyAlignment="1" applyProtection="1">
      <alignment horizontal="left"/>
    </xf>
    <xf numFmtId="3" fontId="16" fillId="0" borderId="4" xfId="0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 applyProtection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0" fillId="0" borderId="4" xfId="0" applyNumberFormat="1" applyFill="1" applyBorder="1"/>
    <xf numFmtId="3" fontId="8" fillId="0" borderId="0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>
      <alignment horizontal="center" wrapText="1"/>
    </xf>
    <xf numFmtId="3" fontId="7" fillId="0" borderId="0" xfId="0" applyNumberFormat="1" applyFont="1" applyFill="1" applyBorder="1"/>
    <xf numFmtId="3" fontId="2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/>
    </xf>
    <xf numFmtId="0" fontId="9" fillId="0" borderId="4" xfId="0" applyFont="1" applyFill="1" applyBorder="1"/>
    <xf numFmtId="0" fontId="1" fillId="0" borderId="4" xfId="0" applyFont="1" applyFill="1" applyBorder="1"/>
    <xf numFmtId="0" fontId="13" fillId="0" borderId="4" xfId="0" applyFont="1" applyFill="1" applyBorder="1"/>
    <xf numFmtId="3" fontId="1" fillId="0" borderId="4" xfId="0" applyNumberFormat="1" applyFont="1" applyFill="1" applyBorder="1"/>
    <xf numFmtId="3" fontId="4" fillId="0" borderId="4" xfId="0" applyNumberFormat="1" applyFont="1" applyFill="1" applyBorder="1" applyAlignment="1">
      <alignment horizontal="left" wrapText="1"/>
    </xf>
    <xf numFmtId="3" fontId="17" fillId="0" borderId="4" xfId="0" applyNumberFormat="1" applyFont="1" applyFill="1" applyBorder="1"/>
    <xf numFmtId="3" fontId="4" fillId="0" borderId="4" xfId="0" applyNumberFormat="1" applyFont="1" applyFill="1" applyBorder="1"/>
    <xf numFmtId="3" fontId="8" fillId="0" borderId="0" xfId="0" applyNumberFormat="1" applyFont="1" applyFill="1"/>
    <xf numFmtId="0" fontId="8" fillId="0" borderId="0" xfId="0" applyFont="1" applyFill="1"/>
    <xf numFmtId="0" fontId="17" fillId="0" borderId="0" xfId="0" applyFont="1" applyFill="1"/>
    <xf numFmtId="3" fontId="4" fillId="2" borderId="4" xfId="0" applyNumberFormat="1" applyFont="1" applyFill="1" applyBorder="1" applyAlignment="1">
      <alignment horizontal="left" wrapText="1"/>
    </xf>
    <xf numFmtId="3" fontId="8" fillId="2" borderId="4" xfId="0" applyNumberFormat="1" applyFont="1" applyFill="1" applyBorder="1" applyAlignment="1">
      <alignment horizontal="right"/>
    </xf>
    <xf numFmtId="3" fontId="17" fillId="2" borderId="4" xfId="0" applyNumberFormat="1" applyFont="1" applyFill="1" applyBorder="1"/>
    <xf numFmtId="3" fontId="8" fillId="2" borderId="0" xfId="0" applyNumberFormat="1" applyFont="1" applyFill="1"/>
    <xf numFmtId="0" fontId="8" fillId="2" borderId="0" xfId="0" applyFont="1" applyFill="1"/>
    <xf numFmtId="0" fontId="17" fillId="2" borderId="0" xfId="0" applyFont="1" applyFill="1"/>
    <xf numFmtId="3" fontId="12" fillId="2" borderId="4" xfId="1" applyNumberFormat="1" applyFont="1" applyFill="1" applyBorder="1" applyAlignment="1" applyProtection="1">
      <alignment horizontal="right"/>
    </xf>
    <xf numFmtId="3" fontId="4" fillId="2" borderId="0" xfId="0" applyNumberFormat="1" applyFont="1" applyFill="1" applyBorder="1"/>
    <xf numFmtId="3" fontId="8" fillId="2" borderId="4" xfId="0" applyNumberFormat="1" applyFont="1" applyFill="1" applyBorder="1" applyAlignment="1">
      <alignment horizontal="left" wrapText="1"/>
    </xf>
    <xf numFmtId="3" fontId="8" fillId="2" borderId="0" xfId="0" applyNumberFormat="1" applyFont="1" applyFill="1" applyBorder="1"/>
    <xf numFmtId="0" fontId="8" fillId="2" borderId="0" xfId="0" applyFont="1" applyFill="1" applyBorder="1"/>
    <xf numFmtId="0" fontId="17" fillId="2" borderId="0" xfId="0" applyFont="1" applyFill="1" applyBorder="1"/>
    <xf numFmtId="3" fontId="7" fillId="2" borderId="4" xfId="0" applyNumberFormat="1" applyFont="1" applyFill="1" applyBorder="1"/>
    <xf numFmtId="3" fontId="18" fillId="2" borderId="4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3" fontId="8" fillId="2" borderId="4" xfId="1" applyNumberFormat="1" applyFont="1" applyFill="1" applyBorder="1" applyAlignment="1" applyProtection="1">
      <alignment horizontal="left"/>
    </xf>
    <xf numFmtId="0" fontId="1" fillId="2" borderId="4" xfId="0" applyFont="1" applyFill="1" applyBorder="1"/>
    <xf numFmtId="3" fontId="8" fillId="2" borderId="4" xfId="1" applyNumberFormat="1" applyFont="1" applyFill="1" applyBorder="1" applyAlignment="1" applyProtection="1">
      <alignment horizontal="right"/>
    </xf>
    <xf numFmtId="3" fontId="12" fillId="2" borderId="4" xfId="0" applyNumberFormat="1" applyFont="1" applyFill="1" applyBorder="1"/>
    <xf numFmtId="3" fontId="7" fillId="2" borderId="0" xfId="0" applyNumberFormat="1" applyFont="1" applyFill="1" applyBorder="1"/>
    <xf numFmtId="0" fontId="2" fillId="2" borderId="0" xfId="0" applyFont="1" applyFill="1"/>
    <xf numFmtId="0" fontId="4" fillId="2" borderId="4" xfId="0" applyFont="1" applyFill="1" applyBorder="1"/>
    <xf numFmtId="0" fontId="9" fillId="2" borderId="4" xfId="0" applyFont="1" applyFill="1" applyBorder="1"/>
    <xf numFmtId="0" fontId="7" fillId="2" borderId="0" xfId="0" applyFont="1" applyFill="1"/>
    <xf numFmtId="0" fontId="9" fillId="2" borderId="0" xfId="0" applyFont="1" applyFill="1"/>
    <xf numFmtId="3" fontId="8" fillId="0" borderId="4" xfId="1" applyNumberFormat="1" applyFont="1" applyFill="1" applyBorder="1" applyAlignment="1" applyProtection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5" xfId="1" applyNumberFormat="1" applyFont="1" applyFill="1" applyBorder="1" applyAlignment="1" applyProtection="1">
      <alignment horizontal="center" vertical="center"/>
    </xf>
    <xf numFmtId="3" fontId="8" fillId="0" borderId="6" xfId="1" applyNumberFormat="1" applyFont="1" applyFill="1" applyBorder="1" applyAlignment="1" applyProtection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7"/>
  <sheetViews>
    <sheetView tabSelected="1" zoomScale="95" zoomScaleNormal="95" workbookViewId="0">
      <selection activeCell="A2" sqref="A2"/>
    </sheetView>
  </sheetViews>
  <sheetFormatPr defaultRowHeight="15" x14ac:dyDescent="0.25"/>
  <cols>
    <col min="1" max="1" width="52.28515625" customWidth="1"/>
    <col min="2" max="2" width="11.28515625" customWidth="1"/>
    <col min="3" max="3" width="13" style="5" customWidth="1"/>
    <col min="4" max="4" width="9.140625" style="5" hidden="1" customWidth="1"/>
    <col min="5" max="5" width="12.28515625" style="5" customWidth="1"/>
    <col min="6" max="6" width="9.7109375" style="5" customWidth="1"/>
    <col min="7" max="7" width="10.140625" style="5" hidden="1" customWidth="1"/>
    <col min="8" max="8" width="9.140625" style="5" customWidth="1"/>
    <col min="9" max="9" width="11.85546875" style="5" customWidth="1"/>
    <col min="10" max="10" width="8.140625" style="5" hidden="1" customWidth="1"/>
    <col min="11" max="11" width="9.42578125" style="5" customWidth="1"/>
    <col min="12" max="12" width="11.42578125" style="5" customWidth="1"/>
    <col min="13" max="13" width="9.140625" style="5" hidden="1" customWidth="1"/>
    <col min="14" max="14" width="9.140625" style="5" customWidth="1"/>
    <col min="15" max="15" width="13.42578125" style="5" customWidth="1"/>
    <col min="16" max="16" width="9.140625" style="5" hidden="1" customWidth="1"/>
    <col min="17" max="17" width="9.140625" style="5" customWidth="1"/>
    <col min="18" max="18" width="13.85546875" style="5" customWidth="1"/>
    <col min="19" max="19" width="9.140625" hidden="1" customWidth="1"/>
    <col min="20" max="20" width="9.42578125" hidden="1" customWidth="1"/>
    <col min="21" max="22" width="9.140625" hidden="1" customWidth="1"/>
    <col min="23" max="24" width="9.140625" customWidth="1"/>
    <col min="25" max="25" width="7.85546875" hidden="1" customWidth="1"/>
    <col min="26" max="26" width="9.140625" customWidth="1"/>
    <col min="27" max="27" width="9.140625" style="51" customWidth="1"/>
    <col min="28" max="28" width="9.140625" hidden="1" customWidth="1"/>
    <col min="29" max="29" width="9.140625" customWidth="1"/>
    <col min="30" max="30" width="10.85546875" style="51" customWidth="1"/>
    <col min="31" max="31" width="13.42578125" hidden="1" customWidth="1"/>
    <col min="32" max="32" width="9.140625" customWidth="1"/>
    <col min="33" max="33" width="9.140625" style="51" customWidth="1"/>
    <col min="34" max="34" width="9.7109375" hidden="1" customWidth="1"/>
    <col min="35" max="36" width="9.140625" customWidth="1"/>
    <col min="37" max="37" width="9.140625" hidden="1" customWidth="1"/>
    <col min="38" max="39" width="9.140625" customWidth="1"/>
    <col min="40" max="40" width="9.140625" hidden="1" customWidth="1"/>
    <col min="41" max="41" width="11" style="5" customWidth="1"/>
    <col min="42" max="42" width="10.42578125" customWidth="1"/>
    <col min="43" max="43" width="11" hidden="1" customWidth="1"/>
    <col min="44" max="44" width="10.7109375" hidden="1" customWidth="1"/>
    <col min="45" max="45" width="11.28515625" hidden="1" customWidth="1"/>
    <col min="46" max="46" width="12" hidden="1" customWidth="1"/>
    <col min="47" max="47" width="9.140625" customWidth="1"/>
  </cols>
  <sheetData>
    <row r="1" spans="1:58" ht="7.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2"/>
      <c r="AB1" s="2"/>
      <c r="AC1" s="2"/>
      <c r="AD1" s="42"/>
      <c r="AE1" s="2"/>
      <c r="AF1" s="2"/>
      <c r="AG1" s="42"/>
      <c r="AH1" s="2"/>
      <c r="AI1" s="2"/>
      <c r="AJ1" s="2"/>
      <c r="AK1" s="2"/>
      <c r="AL1" s="2"/>
      <c r="AM1" s="2"/>
      <c r="AN1" s="2"/>
      <c r="AO1" s="2"/>
      <c r="AP1" s="3"/>
      <c r="AQ1" s="3"/>
      <c r="AR1" s="3"/>
      <c r="AS1" s="4"/>
      <c r="AT1" s="4"/>
      <c r="AU1" s="4"/>
      <c r="AV1" s="4"/>
      <c r="AW1" s="4"/>
      <c r="AX1" s="4"/>
      <c r="AY1" s="4"/>
      <c r="AZ1" s="5"/>
      <c r="BA1" s="5"/>
      <c r="BB1" s="5"/>
      <c r="BC1" s="5"/>
      <c r="BD1" s="5"/>
      <c r="BE1" s="5"/>
      <c r="BF1" s="5"/>
    </row>
    <row r="2" spans="1:58" ht="20.100000000000001" customHeight="1" x14ac:dyDescent="0.25">
      <c r="A2" s="6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43"/>
      <c r="AB2" s="8"/>
      <c r="AC2" s="8"/>
      <c r="AD2" s="43"/>
      <c r="AE2" s="8"/>
      <c r="AF2" s="8"/>
      <c r="AG2" s="43"/>
      <c r="AH2" s="8"/>
      <c r="AI2" s="9"/>
      <c r="AJ2" s="9"/>
      <c r="AK2" s="9"/>
      <c r="AL2" s="9"/>
      <c r="AM2" s="9"/>
      <c r="AN2" s="9"/>
      <c r="AO2" s="8"/>
      <c r="AP2" s="3"/>
      <c r="AQ2" s="3"/>
      <c r="AR2" s="3"/>
      <c r="AS2" s="4"/>
      <c r="AT2" s="4"/>
      <c r="AU2" s="4"/>
      <c r="AV2" s="4"/>
      <c r="AW2" s="4"/>
      <c r="AX2" s="4"/>
      <c r="AY2" s="4"/>
      <c r="AZ2" s="5"/>
      <c r="BA2" s="5"/>
      <c r="BB2" s="5"/>
      <c r="BC2" s="5"/>
      <c r="BD2" s="5"/>
      <c r="BE2" s="5"/>
      <c r="BF2" s="5"/>
    </row>
    <row r="3" spans="1:58" ht="14.85" customHeight="1" x14ac:dyDescent="0.25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43"/>
      <c r="AB3" s="8"/>
      <c r="AC3" s="8"/>
      <c r="AD3" s="43"/>
      <c r="AE3" s="8"/>
      <c r="AF3" s="8"/>
      <c r="AG3" s="43"/>
      <c r="AH3" s="8"/>
      <c r="AI3" s="8"/>
      <c r="AJ3" s="8"/>
      <c r="AK3" s="8"/>
      <c r="AL3" s="8"/>
      <c r="AM3" s="8"/>
      <c r="AN3" s="8"/>
      <c r="AO3" s="8"/>
      <c r="AP3" s="3"/>
      <c r="AQ3" s="3"/>
      <c r="AR3" s="3"/>
      <c r="AS3" s="4"/>
      <c r="AT3" s="4"/>
      <c r="AU3" s="4"/>
      <c r="AV3" s="4"/>
      <c r="AW3" s="4"/>
      <c r="AX3" s="4"/>
      <c r="AY3" s="4"/>
      <c r="AZ3" s="5"/>
      <c r="BA3" s="5"/>
      <c r="BB3" s="5"/>
      <c r="BC3" s="5"/>
      <c r="BD3" s="5"/>
      <c r="BE3" s="5"/>
      <c r="BF3" s="5"/>
    </row>
    <row r="4" spans="1:58" ht="26.25" customHeight="1" x14ac:dyDescent="0.25">
      <c r="A4" s="11" t="s">
        <v>113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8"/>
      <c r="X4" s="8"/>
      <c r="Y4" s="8"/>
      <c r="Z4" s="8"/>
      <c r="AA4" s="43"/>
      <c r="AB4" s="8"/>
      <c r="AC4" s="8"/>
      <c r="AD4" s="43"/>
      <c r="AE4" s="8"/>
      <c r="AF4" s="8"/>
      <c r="AG4" s="43"/>
      <c r="AH4" s="8"/>
      <c r="AI4" s="8"/>
      <c r="AJ4" s="8"/>
      <c r="AK4" s="8"/>
      <c r="AL4" s="8"/>
      <c r="AM4" s="8"/>
      <c r="AN4" s="8"/>
      <c r="AO4" s="8"/>
      <c r="AP4" s="3"/>
      <c r="AQ4" s="3"/>
      <c r="AR4" s="3"/>
      <c r="AS4" s="4"/>
      <c r="AT4" s="4"/>
      <c r="AU4" s="4"/>
      <c r="AV4" s="4"/>
      <c r="AW4" s="4"/>
      <c r="AX4" s="4"/>
      <c r="AY4" s="4"/>
      <c r="AZ4" s="5"/>
      <c r="BA4" s="5"/>
      <c r="BB4" s="5"/>
      <c r="BC4" s="5"/>
      <c r="BD4" s="5"/>
      <c r="BE4" s="5"/>
      <c r="BF4" s="5"/>
    </row>
    <row r="5" spans="1:58" ht="7.5" customHeight="1" x14ac:dyDescent="0.25">
      <c r="A5" s="13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8"/>
      <c r="X5" s="8"/>
      <c r="Y5" s="8"/>
      <c r="Z5" s="8"/>
      <c r="AA5" s="43"/>
      <c r="AB5" s="8"/>
      <c r="AC5" s="8"/>
      <c r="AD5" s="43"/>
      <c r="AE5" s="8"/>
      <c r="AF5" s="8"/>
      <c r="AG5" s="43"/>
      <c r="AH5" s="8"/>
      <c r="AI5" s="8"/>
      <c r="AJ5" s="8"/>
      <c r="AK5" s="8"/>
      <c r="AL5" s="8"/>
      <c r="AM5" s="8"/>
      <c r="AN5" s="8"/>
      <c r="AO5" s="8"/>
      <c r="AP5" s="3"/>
      <c r="AQ5" s="3"/>
      <c r="AR5" s="3"/>
      <c r="AS5" s="4"/>
      <c r="AT5" s="4"/>
      <c r="AU5" s="4"/>
      <c r="AV5" s="4"/>
      <c r="AW5" s="4"/>
      <c r="AX5" s="4"/>
      <c r="AY5" s="4"/>
      <c r="AZ5" s="5"/>
      <c r="BA5" s="5"/>
      <c r="BB5" s="5"/>
      <c r="BC5" s="5"/>
      <c r="BD5" s="5"/>
      <c r="BE5" s="5"/>
      <c r="BF5" s="5"/>
    </row>
    <row r="6" spans="1:58" ht="16.5" customHeight="1" x14ac:dyDescent="0.25">
      <c r="A6" s="14" t="s">
        <v>1</v>
      </c>
      <c r="B6" s="12"/>
      <c r="C6" s="12"/>
      <c r="D6" s="12"/>
      <c r="E6" s="3"/>
      <c r="F6" s="3"/>
      <c r="G6" s="3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8"/>
      <c r="X6" s="8"/>
      <c r="Y6" s="8"/>
      <c r="Z6" s="7"/>
      <c r="AA6" s="44"/>
      <c r="AB6" s="7"/>
      <c r="AC6" s="8"/>
      <c r="AD6" s="43"/>
      <c r="AE6" s="8"/>
      <c r="AF6" s="8"/>
      <c r="AG6" s="43"/>
      <c r="AH6" s="8"/>
      <c r="AI6" s="8"/>
      <c r="AJ6" s="8"/>
      <c r="AK6" s="8"/>
      <c r="AL6" s="8"/>
      <c r="AM6" s="8"/>
      <c r="AN6" s="8"/>
      <c r="AO6" s="8"/>
      <c r="AP6" s="3"/>
      <c r="AQ6" s="3"/>
      <c r="AR6" s="3"/>
      <c r="AS6" s="4"/>
      <c r="AT6" s="4"/>
      <c r="AU6" s="4"/>
      <c r="AV6" s="4"/>
      <c r="AW6" s="4"/>
      <c r="AX6" s="4"/>
      <c r="AY6" s="4"/>
      <c r="AZ6" s="5"/>
      <c r="BA6" s="5"/>
      <c r="BB6" s="5"/>
      <c r="BC6" s="5"/>
      <c r="BD6" s="5"/>
      <c r="BE6" s="5"/>
      <c r="BF6" s="5"/>
    </row>
    <row r="7" spans="1:58" s="17" customFormat="1" ht="26.25" customHeight="1" x14ac:dyDescent="0.2">
      <c r="A7" s="59" t="s">
        <v>2</v>
      </c>
      <c r="B7" s="133" t="s">
        <v>3</v>
      </c>
      <c r="C7" s="134"/>
      <c r="D7" s="134"/>
      <c r="E7" s="133" t="s">
        <v>4</v>
      </c>
      <c r="F7" s="134"/>
      <c r="G7" s="134"/>
      <c r="H7" s="133" t="s">
        <v>6</v>
      </c>
      <c r="I7" s="134"/>
      <c r="J7" s="134"/>
      <c r="K7" s="133" t="s">
        <v>7</v>
      </c>
      <c r="L7" s="134"/>
      <c r="M7" s="134"/>
      <c r="N7" s="133" t="s">
        <v>8</v>
      </c>
      <c r="O7" s="134"/>
      <c r="P7" s="134"/>
      <c r="Q7" s="133" t="s">
        <v>9</v>
      </c>
      <c r="R7" s="134"/>
      <c r="S7" s="134"/>
      <c r="T7" s="133" t="s">
        <v>10</v>
      </c>
      <c r="U7" s="134"/>
      <c r="V7" s="134"/>
      <c r="W7" s="133" t="s">
        <v>11</v>
      </c>
      <c r="X7" s="134"/>
      <c r="Y7" s="134"/>
      <c r="Z7" s="133" t="s">
        <v>12</v>
      </c>
      <c r="AA7" s="134"/>
      <c r="AB7" s="134"/>
      <c r="AC7" s="133" t="s">
        <v>13</v>
      </c>
      <c r="AD7" s="134"/>
      <c r="AE7" s="134"/>
      <c r="AF7" s="133" t="s">
        <v>14</v>
      </c>
      <c r="AG7" s="134"/>
      <c r="AH7" s="134"/>
      <c r="AI7" s="135" t="s">
        <v>15</v>
      </c>
      <c r="AJ7" s="136"/>
      <c r="AK7" s="136"/>
      <c r="AL7" s="132" t="s">
        <v>16</v>
      </c>
      <c r="AM7" s="132"/>
      <c r="AN7" s="132"/>
      <c r="AO7" s="132" t="s">
        <v>17</v>
      </c>
      <c r="AP7" s="132"/>
      <c r="AQ7" s="132"/>
      <c r="AR7" s="92"/>
      <c r="AS7" s="16"/>
      <c r="AT7" s="16"/>
      <c r="AU7" s="16"/>
      <c r="AV7" s="16"/>
      <c r="AW7" s="16"/>
      <c r="AX7" s="16"/>
      <c r="AY7" s="16"/>
    </row>
    <row r="8" spans="1:58" s="22" customFormat="1" ht="30" customHeight="1" x14ac:dyDescent="0.2">
      <c r="A8" s="61"/>
      <c r="B8" s="62" t="s">
        <v>114</v>
      </c>
      <c r="C8" s="63" t="s">
        <v>102</v>
      </c>
      <c r="D8" s="63" t="s">
        <v>103</v>
      </c>
      <c r="E8" s="62" t="s">
        <v>114</v>
      </c>
      <c r="F8" s="63" t="s">
        <v>102</v>
      </c>
      <c r="G8" s="63" t="s">
        <v>103</v>
      </c>
      <c r="H8" s="62" t="s">
        <v>114</v>
      </c>
      <c r="I8" s="63" t="s">
        <v>102</v>
      </c>
      <c r="J8" s="63" t="s">
        <v>103</v>
      </c>
      <c r="K8" s="62" t="s">
        <v>114</v>
      </c>
      <c r="L8" s="63" t="s">
        <v>102</v>
      </c>
      <c r="M8" s="63" t="s">
        <v>103</v>
      </c>
      <c r="N8" s="62" t="s">
        <v>114</v>
      </c>
      <c r="O8" s="63" t="s">
        <v>102</v>
      </c>
      <c r="P8" s="63" t="s">
        <v>103</v>
      </c>
      <c r="Q8" s="62" t="s">
        <v>114</v>
      </c>
      <c r="R8" s="63" t="s">
        <v>102</v>
      </c>
      <c r="S8" s="63" t="s">
        <v>103</v>
      </c>
      <c r="T8" s="62" t="s">
        <v>114</v>
      </c>
      <c r="U8" s="63" t="s">
        <v>102</v>
      </c>
      <c r="V8" s="63" t="s">
        <v>103</v>
      </c>
      <c r="W8" s="62" t="s">
        <v>114</v>
      </c>
      <c r="X8" s="63" t="s">
        <v>102</v>
      </c>
      <c r="Y8" s="63" t="s">
        <v>103</v>
      </c>
      <c r="Z8" s="62" t="s">
        <v>114</v>
      </c>
      <c r="AA8" s="63" t="s">
        <v>102</v>
      </c>
      <c r="AB8" s="63" t="s">
        <v>103</v>
      </c>
      <c r="AC8" s="62" t="s">
        <v>114</v>
      </c>
      <c r="AD8" s="63" t="s">
        <v>102</v>
      </c>
      <c r="AE8" s="63" t="s">
        <v>103</v>
      </c>
      <c r="AF8" s="62" t="s">
        <v>114</v>
      </c>
      <c r="AG8" s="63" t="s">
        <v>102</v>
      </c>
      <c r="AH8" s="63" t="s">
        <v>103</v>
      </c>
      <c r="AI8" s="62" t="s">
        <v>114</v>
      </c>
      <c r="AJ8" s="63" t="s">
        <v>102</v>
      </c>
      <c r="AK8" s="63" t="s">
        <v>103</v>
      </c>
      <c r="AL8" s="62" t="s">
        <v>114</v>
      </c>
      <c r="AM8" s="63" t="s">
        <v>102</v>
      </c>
      <c r="AN8" s="63" t="s">
        <v>103</v>
      </c>
      <c r="AO8" s="62" t="s">
        <v>114</v>
      </c>
      <c r="AP8" s="63" t="s">
        <v>102</v>
      </c>
      <c r="AQ8" s="63" t="s">
        <v>103</v>
      </c>
      <c r="AR8" s="93"/>
      <c r="AS8" s="21"/>
      <c r="AT8" s="21"/>
      <c r="AU8" s="21"/>
      <c r="AV8" s="21"/>
      <c r="AW8" s="21"/>
      <c r="AX8" s="21"/>
      <c r="AY8" s="21"/>
    </row>
    <row r="9" spans="1:58" s="17" customFormat="1" ht="12.75" customHeight="1" x14ac:dyDescent="0.3">
      <c r="A9" s="64" t="s">
        <v>19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S9" s="66"/>
      <c r="T9" s="66"/>
      <c r="U9" s="66"/>
      <c r="V9" s="66"/>
      <c r="W9" s="66"/>
      <c r="X9" s="66"/>
      <c r="Y9" s="66"/>
      <c r="Z9" s="66"/>
      <c r="AA9" s="67"/>
      <c r="AB9" s="66"/>
      <c r="AC9" s="66"/>
      <c r="AD9" s="67"/>
      <c r="AE9" s="66"/>
      <c r="AF9" s="66"/>
      <c r="AG9" s="67"/>
      <c r="AH9" s="66"/>
      <c r="AI9" s="66"/>
      <c r="AJ9" s="66"/>
      <c r="AK9" s="66"/>
      <c r="AL9" s="66"/>
      <c r="AM9" s="66"/>
      <c r="AN9" s="66"/>
      <c r="AO9" s="66"/>
      <c r="AP9" s="60"/>
      <c r="AQ9" s="60"/>
      <c r="AR9" s="94"/>
      <c r="AS9" s="16"/>
      <c r="AT9" s="16"/>
      <c r="AU9" s="16"/>
      <c r="AV9" s="16"/>
      <c r="AW9" s="16"/>
      <c r="AX9" s="16"/>
      <c r="AY9" s="16"/>
    </row>
    <row r="10" spans="1:58" s="131" customFormat="1" ht="12.75" customHeight="1" x14ac:dyDescent="0.25">
      <c r="A10" s="128" t="s">
        <v>20</v>
      </c>
      <c r="B10" s="74">
        <v>1100000</v>
      </c>
      <c r="C10" s="74">
        <v>1128508</v>
      </c>
      <c r="D10" s="108">
        <v>1097818</v>
      </c>
      <c r="E10" s="74">
        <v>1360000</v>
      </c>
      <c r="F10" s="74">
        <v>1404716</v>
      </c>
      <c r="G10" s="129">
        <v>1343273</v>
      </c>
      <c r="H10" s="74">
        <v>630000</v>
      </c>
      <c r="I10" s="74">
        <v>643075</v>
      </c>
      <c r="J10" s="129">
        <v>619661</v>
      </c>
      <c r="K10" s="74">
        <v>280000</v>
      </c>
      <c r="L10" s="74">
        <v>279495</v>
      </c>
      <c r="M10" s="129">
        <v>273869</v>
      </c>
      <c r="N10" s="74">
        <v>193000</v>
      </c>
      <c r="O10" s="74">
        <v>193146</v>
      </c>
      <c r="P10" s="129">
        <v>191055</v>
      </c>
      <c r="Q10" s="74">
        <v>100000</v>
      </c>
      <c r="R10" s="67">
        <v>98838</v>
      </c>
      <c r="S10" s="129">
        <v>97043</v>
      </c>
      <c r="T10" s="113">
        <f t="shared" ref="T10:V12" si="0">K10+N10+Q10</f>
        <v>573000</v>
      </c>
      <c r="U10" s="113">
        <f t="shared" si="0"/>
        <v>571479</v>
      </c>
      <c r="V10" s="113">
        <f t="shared" si="0"/>
        <v>561967</v>
      </c>
      <c r="W10" s="125">
        <v>573000</v>
      </c>
      <c r="X10" s="125">
        <v>571479</v>
      </c>
      <c r="Y10" s="129">
        <v>561967</v>
      </c>
      <c r="Z10" s="74">
        <v>451000</v>
      </c>
      <c r="AA10" s="74">
        <v>438544</v>
      </c>
      <c r="AB10" s="129">
        <v>449214</v>
      </c>
      <c r="AC10" s="74">
        <v>224000</v>
      </c>
      <c r="AD10" s="74">
        <v>225960</v>
      </c>
      <c r="AE10" s="129">
        <v>220705</v>
      </c>
      <c r="AF10" s="74">
        <v>350000</v>
      </c>
      <c r="AG10" s="74">
        <v>338238</v>
      </c>
      <c r="AH10" s="129">
        <v>342268</v>
      </c>
      <c r="AI10" s="74">
        <v>144500</v>
      </c>
      <c r="AJ10" s="74">
        <v>146372</v>
      </c>
      <c r="AK10" s="129">
        <v>143625</v>
      </c>
      <c r="AL10" s="108"/>
      <c r="AM10" s="108"/>
      <c r="AN10" s="108"/>
      <c r="AO10" s="124">
        <f>B10+E10+H10+K10+N10+Q10+Z10+AC10+AF10+AI10</f>
        <v>4832500</v>
      </c>
      <c r="AP10" s="119">
        <f t="shared" ref="AP10:AQ12" si="1">C10+F10+I10+X10+AA10+AD10+AG10+AJ10</f>
        <v>4896892</v>
      </c>
      <c r="AQ10" s="119">
        <f t="shared" si="1"/>
        <v>4778531</v>
      </c>
      <c r="AR10" s="126">
        <v>4832500</v>
      </c>
      <c r="AS10" s="130">
        <v>4896892</v>
      </c>
      <c r="AT10" s="130">
        <v>4778531</v>
      </c>
      <c r="AU10" s="130"/>
      <c r="AV10" s="130"/>
      <c r="AW10" s="130"/>
      <c r="AX10" s="130"/>
      <c r="AY10" s="130"/>
    </row>
    <row r="11" spans="1:58" s="17" customFormat="1" ht="12.75" customHeight="1" x14ac:dyDescent="0.25">
      <c r="A11" s="69" t="s">
        <v>21</v>
      </c>
      <c r="B11" s="71">
        <v>1125000</v>
      </c>
      <c r="C11" s="71">
        <v>1190788</v>
      </c>
      <c r="D11" s="70">
        <v>1144901</v>
      </c>
      <c r="E11" s="71">
        <v>1300000</v>
      </c>
      <c r="F11" s="71">
        <v>1314261</v>
      </c>
      <c r="G11" s="97">
        <v>1297748</v>
      </c>
      <c r="H11" s="71">
        <v>620000</v>
      </c>
      <c r="I11" s="71">
        <v>630596</v>
      </c>
      <c r="J11" s="97">
        <v>619106</v>
      </c>
      <c r="K11" s="71">
        <v>200000</v>
      </c>
      <c r="L11" s="71">
        <v>202854</v>
      </c>
      <c r="M11" s="97">
        <v>197812</v>
      </c>
      <c r="N11" s="71">
        <v>172000</v>
      </c>
      <c r="O11" s="71">
        <v>172484</v>
      </c>
      <c r="P11" s="97">
        <v>172021</v>
      </c>
      <c r="Q11" s="71">
        <v>88000</v>
      </c>
      <c r="R11" s="71">
        <v>87136</v>
      </c>
      <c r="S11" s="97">
        <v>83735</v>
      </c>
      <c r="T11" s="72">
        <f t="shared" si="0"/>
        <v>460000</v>
      </c>
      <c r="U11" s="72">
        <f t="shared" si="0"/>
        <v>462474</v>
      </c>
      <c r="V11" s="72">
        <f t="shared" si="0"/>
        <v>453568</v>
      </c>
      <c r="W11" s="73">
        <v>460000</v>
      </c>
      <c r="X11" s="73">
        <v>462474</v>
      </c>
      <c r="Y11" s="97">
        <v>453568</v>
      </c>
      <c r="Z11" s="71">
        <v>365000</v>
      </c>
      <c r="AA11" s="74">
        <v>363243</v>
      </c>
      <c r="AB11" s="97">
        <v>363061</v>
      </c>
      <c r="AC11" s="71">
        <v>170000</v>
      </c>
      <c r="AD11" s="74">
        <v>170498</v>
      </c>
      <c r="AE11" s="97">
        <v>166946</v>
      </c>
      <c r="AF11" s="71">
        <v>310000</v>
      </c>
      <c r="AG11" s="74">
        <v>305163</v>
      </c>
      <c r="AH11" s="97">
        <v>308788</v>
      </c>
      <c r="AI11" s="71">
        <v>144500</v>
      </c>
      <c r="AJ11" s="71">
        <v>147923</v>
      </c>
      <c r="AK11" s="97">
        <v>133852</v>
      </c>
      <c r="AL11" s="70"/>
      <c r="AM11" s="70"/>
      <c r="AN11" s="70"/>
      <c r="AO11" s="68">
        <f>B11+E11+H11+K11+N11+Q11+Z11+AC11+AF11+AI11</f>
        <v>4494500</v>
      </c>
      <c r="AP11" s="60">
        <f t="shared" si="1"/>
        <v>4584946</v>
      </c>
      <c r="AQ11" s="60">
        <f t="shared" si="1"/>
        <v>4487970</v>
      </c>
      <c r="AR11" s="94">
        <v>4494500</v>
      </c>
      <c r="AS11" s="16">
        <v>4584946</v>
      </c>
      <c r="AT11" s="16">
        <v>4487970</v>
      </c>
      <c r="AU11" s="16"/>
      <c r="AV11" s="16"/>
      <c r="AW11" s="16"/>
      <c r="AX11" s="16"/>
      <c r="AY11" s="16"/>
    </row>
    <row r="12" spans="1:58" s="17" customFormat="1" ht="15.6" customHeight="1" x14ac:dyDescent="0.25">
      <c r="A12" s="75" t="s">
        <v>22</v>
      </c>
      <c r="B12" s="71">
        <v>48000</v>
      </c>
      <c r="C12" s="71">
        <v>43338</v>
      </c>
      <c r="D12" s="70">
        <v>45888</v>
      </c>
      <c r="E12" s="71">
        <v>48700</v>
      </c>
      <c r="F12" s="71">
        <v>48650</v>
      </c>
      <c r="G12" s="97">
        <v>49509</v>
      </c>
      <c r="H12" s="71">
        <v>22202</v>
      </c>
      <c r="I12" s="71">
        <v>21871</v>
      </c>
      <c r="J12" s="97">
        <v>22202</v>
      </c>
      <c r="K12" s="71">
        <v>7400</v>
      </c>
      <c r="L12" s="71">
        <v>6697</v>
      </c>
      <c r="M12" s="97">
        <v>7368</v>
      </c>
      <c r="N12" s="71">
        <v>3900</v>
      </c>
      <c r="O12" s="71">
        <v>3890</v>
      </c>
      <c r="P12" s="97">
        <v>4327</v>
      </c>
      <c r="Q12" s="71">
        <v>2400</v>
      </c>
      <c r="R12" s="71">
        <v>2271</v>
      </c>
      <c r="S12" s="97">
        <v>2429</v>
      </c>
      <c r="T12" s="72">
        <f t="shared" si="0"/>
        <v>13700</v>
      </c>
      <c r="U12" s="72">
        <f t="shared" si="0"/>
        <v>12858</v>
      </c>
      <c r="V12" s="72">
        <f t="shared" si="0"/>
        <v>14124</v>
      </c>
      <c r="W12" s="73">
        <v>13700</v>
      </c>
      <c r="X12" s="73">
        <v>12858</v>
      </c>
      <c r="Y12" s="97">
        <v>14124</v>
      </c>
      <c r="Z12" s="71">
        <v>14753</v>
      </c>
      <c r="AA12" s="74">
        <v>14753</v>
      </c>
      <c r="AB12" s="97">
        <v>15799</v>
      </c>
      <c r="AC12" s="71">
        <v>9400</v>
      </c>
      <c r="AD12" s="74">
        <v>9058</v>
      </c>
      <c r="AE12" s="97">
        <v>9394</v>
      </c>
      <c r="AF12" s="71">
        <v>8950</v>
      </c>
      <c r="AG12" s="74">
        <v>8767</v>
      </c>
      <c r="AH12" s="97">
        <v>8808</v>
      </c>
      <c r="AI12" s="71">
        <v>4067</v>
      </c>
      <c r="AJ12" s="71">
        <v>4056</v>
      </c>
      <c r="AK12" s="97">
        <v>4067</v>
      </c>
      <c r="AL12" s="70"/>
      <c r="AM12" s="70"/>
      <c r="AN12" s="70"/>
      <c r="AO12" s="68">
        <f>B12+E12+H12+K12+N12+Q12+Z12+AC12+AF12+AI12</f>
        <v>169772</v>
      </c>
      <c r="AP12" s="60">
        <f t="shared" si="1"/>
        <v>163351</v>
      </c>
      <c r="AQ12" s="60">
        <f t="shared" si="1"/>
        <v>169791</v>
      </c>
      <c r="AR12" s="94">
        <v>169772</v>
      </c>
      <c r="AS12" s="16">
        <v>163351</v>
      </c>
      <c r="AT12" s="16">
        <v>169791</v>
      </c>
      <c r="AU12" s="16"/>
      <c r="AV12" s="16"/>
      <c r="AW12" s="16"/>
      <c r="AX12" s="16"/>
      <c r="AY12" s="16"/>
    </row>
    <row r="13" spans="1:58" s="5" customFormat="1" ht="12.75" customHeight="1" x14ac:dyDescent="0.25">
      <c r="A13" s="76" t="s">
        <v>23</v>
      </c>
      <c r="B13" s="71"/>
      <c r="C13" s="71"/>
      <c r="D13" s="70"/>
      <c r="E13" s="71"/>
      <c r="F13" s="71"/>
      <c r="G13" s="98"/>
      <c r="H13" s="71"/>
      <c r="I13" s="71"/>
      <c r="J13" s="98"/>
      <c r="K13" s="71"/>
      <c r="L13" s="71"/>
      <c r="M13" s="98"/>
      <c r="N13" s="71"/>
      <c r="O13" s="71"/>
      <c r="P13" s="98"/>
      <c r="Q13" s="71"/>
      <c r="R13" s="71"/>
      <c r="S13" s="98"/>
      <c r="T13" s="72"/>
      <c r="U13" s="72"/>
      <c r="V13" s="72"/>
      <c r="W13" s="73">
        <v>0</v>
      </c>
      <c r="X13" s="73"/>
      <c r="Y13" s="98"/>
      <c r="Z13" s="71"/>
      <c r="AA13" s="74"/>
      <c r="AB13" s="98"/>
      <c r="AC13" s="71"/>
      <c r="AD13" s="74"/>
      <c r="AE13" s="98"/>
      <c r="AF13" s="71"/>
      <c r="AG13" s="74"/>
      <c r="AH13" s="98"/>
      <c r="AI13" s="71"/>
      <c r="AJ13" s="71"/>
      <c r="AK13" s="98"/>
      <c r="AL13" s="70"/>
      <c r="AM13" s="70"/>
      <c r="AN13" s="70"/>
      <c r="AO13" s="68"/>
      <c r="AP13" s="60"/>
      <c r="AQ13" s="60"/>
      <c r="AR13" s="94"/>
      <c r="AS13" s="4"/>
      <c r="AT13" s="4"/>
      <c r="AU13" s="4"/>
      <c r="AV13" s="4"/>
      <c r="AW13" s="4"/>
      <c r="AX13" s="4"/>
      <c r="AY13" s="4"/>
    </row>
    <row r="14" spans="1:58" s="17" customFormat="1" ht="12.75" customHeight="1" x14ac:dyDescent="0.25">
      <c r="A14" s="78" t="s">
        <v>24</v>
      </c>
      <c r="B14" s="71">
        <v>278000</v>
      </c>
      <c r="C14" s="71">
        <v>279829</v>
      </c>
      <c r="D14" s="70">
        <v>272352</v>
      </c>
      <c r="E14" s="71">
        <v>259000</v>
      </c>
      <c r="F14" s="71">
        <v>264174</v>
      </c>
      <c r="G14" s="97">
        <v>254491</v>
      </c>
      <c r="H14" s="71">
        <v>115500</v>
      </c>
      <c r="I14" s="71">
        <v>119192</v>
      </c>
      <c r="J14" s="97">
        <v>114887</v>
      </c>
      <c r="K14" s="71">
        <v>81000</v>
      </c>
      <c r="L14" s="71">
        <v>83484</v>
      </c>
      <c r="M14" s="97">
        <v>81895</v>
      </c>
      <c r="N14" s="71">
        <v>56000</v>
      </c>
      <c r="O14" s="71">
        <v>56631</v>
      </c>
      <c r="P14" s="97">
        <v>56023</v>
      </c>
      <c r="Q14" s="71">
        <v>31500</v>
      </c>
      <c r="R14" s="71">
        <v>31458</v>
      </c>
      <c r="S14" s="97">
        <f>6+31149</f>
        <v>31155</v>
      </c>
      <c r="T14" s="72">
        <f t="shared" ref="T14:V21" si="2">K14+N14+Q14</f>
        <v>168500</v>
      </c>
      <c r="U14" s="72">
        <f t="shared" si="2"/>
        <v>171573</v>
      </c>
      <c r="V14" s="72">
        <f t="shared" si="2"/>
        <v>169073</v>
      </c>
      <c r="W14" s="73">
        <v>168500</v>
      </c>
      <c r="X14" s="73">
        <v>171573</v>
      </c>
      <c r="Y14" s="97">
        <v>169073</v>
      </c>
      <c r="Z14" s="71">
        <v>105300</v>
      </c>
      <c r="AA14" s="74">
        <v>102037</v>
      </c>
      <c r="AB14" s="97">
        <v>104925</v>
      </c>
      <c r="AC14" s="71">
        <v>48900</v>
      </c>
      <c r="AD14" s="74">
        <v>49361</v>
      </c>
      <c r="AE14" s="97">
        <v>48151</v>
      </c>
      <c r="AF14" s="71">
        <v>61600</v>
      </c>
      <c r="AG14" s="74">
        <v>59348</v>
      </c>
      <c r="AH14" s="97">
        <v>60204</v>
      </c>
      <c r="AI14" s="71">
        <v>39500</v>
      </c>
      <c r="AJ14" s="71">
        <v>40047</v>
      </c>
      <c r="AK14" s="97">
        <v>39275</v>
      </c>
      <c r="AL14" s="70"/>
      <c r="AM14" s="70"/>
      <c r="AN14" s="70"/>
      <c r="AO14" s="70">
        <f t="shared" ref="AO14:AO23" si="3">B14+E14+H14+W14+Z14+AC14+AF14+AI14</f>
        <v>1076300</v>
      </c>
      <c r="AP14" s="60">
        <f t="shared" ref="AP14:AP23" si="4">C14+F14+I14+X14+AA14+AD14+AG14+AJ14</f>
        <v>1085561</v>
      </c>
      <c r="AQ14" s="60">
        <f t="shared" ref="AQ14:AQ23" si="5">D14+G14+J14+Y14+AB14+AE14+AH14+AK14</f>
        <v>1063358</v>
      </c>
      <c r="AR14" s="94">
        <v>1076300</v>
      </c>
      <c r="AS14" s="16">
        <v>1085561</v>
      </c>
      <c r="AT14" s="16">
        <v>1063358</v>
      </c>
      <c r="AU14" s="16"/>
      <c r="AV14" s="16"/>
      <c r="AW14" s="16"/>
      <c r="AX14" s="16"/>
      <c r="AY14" s="16"/>
    </row>
    <row r="15" spans="1:58" s="17" customFormat="1" ht="12.75" customHeight="1" x14ac:dyDescent="0.25">
      <c r="A15" s="78" t="s">
        <v>25</v>
      </c>
      <c r="B15" s="71">
        <v>300000</v>
      </c>
      <c r="C15" s="71">
        <v>303116</v>
      </c>
      <c r="D15" s="70">
        <v>281632</v>
      </c>
      <c r="E15" s="71">
        <v>192200</v>
      </c>
      <c r="F15" s="71">
        <v>193561</v>
      </c>
      <c r="G15" s="97">
        <f>192020</f>
        <v>192020</v>
      </c>
      <c r="H15" s="71">
        <v>152000</v>
      </c>
      <c r="I15" s="71">
        <v>155172</v>
      </c>
      <c r="J15" s="97">
        <v>152747</v>
      </c>
      <c r="K15" s="71">
        <v>35000</v>
      </c>
      <c r="L15" s="71">
        <v>35646</v>
      </c>
      <c r="M15" s="97">
        <v>34697</v>
      </c>
      <c r="N15" s="71">
        <v>29000</v>
      </c>
      <c r="O15" s="71">
        <v>29380</v>
      </c>
      <c r="P15" s="97">
        <v>29369</v>
      </c>
      <c r="Q15" s="71">
        <v>22700</v>
      </c>
      <c r="R15" s="71">
        <v>22259</v>
      </c>
      <c r="S15" s="97">
        <f>6+21360</f>
        <v>21366</v>
      </c>
      <c r="T15" s="72">
        <f t="shared" si="2"/>
        <v>86700</v>
      </c>
      <c r="U15" s="72">
        <f t="shared" si="2"/>
        <v>87285</v>
      </c>
      <c r="V15" s="72">
        <f t="shared" si="2"/>
        <v>85432</v>
      </c>
      <c r="W15" s="73">
        <v>86700</v>
      </c>
      <c r="X15" s="73">
        <v>87285</v>
      </c>
      <c r="Y15" s="97">
        <v>85432</v>
      </c>
      <c r="Z15" s="71">
        <v>85900</v>
      </c>
      <c r="AA15" s="74">
        <v>85619</v>
      </c>
      <c r="AB15" s="97">
        <v>85470</v>
      </c>
      <c r="AC15" s="71">
        <v>48000</v>
      </c>
      <c r="AD15" s="74">
        <v>48368</v>
      </c>
      <c r="AE15" s="97">
        <v>47337</v>
      </c>
      <c r="AF15" s="71">
        <v>49290</v>
      </c>
      <c r="AG15" s="74">
        <v>48298</v>
      </c>
      <c r="AH15" s="97">
        <v>48977</v>
      </c>
      <c r="AI15" s="71">
        <v>32000</v>
      </c>
      <c r="AJ15" s="71">
        <v>34306</v>
      </c>
      <c r="AK15" s="97">
        <v>22779</v>
      </c>
      <c r="AL15" s="70"/>
      <c r="AM15" s="70"/>
      <c r="AN15" s="70"/>
      <c r="AO15" s="70">
        <f t="shared" si="3"/>
        <v>946090</v>
      </c>
      <c r="AP15" s="60">
        <f t="shared" si="4"/>
        <v>955725</v>
      </c>
      <c r="AQ15" s="60">
        <f t="shared" si="5"/>
        <v>916394</v>
      </c>
      <c r="AR15" s="94">
        <v>946090</v>
      </c>
      <c r="AS15" s="16">
        <v>955725</v>
      </c>
      <c r="AT15" s="16">
        <v>916394</v>
      </c>
      <c r="AU15" s="16"/>
      <c r="AV15" s="16"/>
      <c r="AW15" s="16"/>
      <c r="AX15" s="16"/>
      <c r="AY15" s="16"/>
    </row>
    <row r="16" spans="1:58" s="17" customFormat="1" ht="12.75" customHeight="1" x14ac:dyDescent="0.25">
      <c r="A16" s="78" t="s">
        <v>26</v>
      </c>
      <c r="B16" s="71">
        <v>3000</v>
      </c>
      <c r="C16" s="71">
        <v>2985</v>
      </c>
      <c r="D16" s="70">
        <v>2833</v>
      </c>
      <c r="E16" s="71">
        <v>25000</v>
      </c>
      <c r="F16" s="71">
        <v>25113</v>
      </c>
      <c r="G16" s="97">
        <v>29044</v>
      </c>
      <c r="H16" s="71">
        <v>3500</v>
      </c>
      <c r="I16" s="71">
        <v>3526</v>
      </c>
      <c r="J16" s="97">
        <v>3134</v>
      </c>
      <c r="K16" s="71">
        <v>400</v>
      </c>
      <c r="L16" s="71">
        <v>473</v>
      </c>
      <c r="M16" s="97">
        <v>408</v>
      </c>
      <c r="N16" s="71">
        <v>190</v>
      </c>
      <c r="O16" s="71">
        <v>111</v>
      </c>
      <c r="P16" s="97">
        <v>192</v>
      </c>
      <c r="Q16" s="71">
        <v>8</v>
      </c>
      <c r="R16" s="71">
        <v>8</v>
      </c>
      <c r="S16" s="97">
        <v>8</v>
      </c>
      <c r="T16" s="72">
        <f t="shared" si="2"/>
        <v>598</v>
      </c>
      <c r="U16" s="72">
        <f t="shared" si="2"/>
        <v>592</v>
      </c>
      <c r="V16" s="72">
        <f t="shared" si="2"/>
        <v>608</v>
      </c>
      <c r="W16" s="73">
        <v>598</v>
      </c>
      <c r="X16" s="73">
        <v>592</v>
      </c>
      <c r="Y16" s="97">
        <v>608</v>
      </c>
      <c r="Z16" s="71">
        <v>5000</v>
      </c>
      <c r="AA16" s="74">
        <v>38958</v>
      </c>
      <c r="AB16" s="97">
        <v>4659</v>
      </c>
      <c r="AC16" s="71">
        <v>5300</v>
      </c>
      <c r="AD16" s="74">
        <v>5304</v>
      </c>
      <c r="AE16" s="97">
        <v>7883</v>
      </c>
      <c r="AF16" s="71">
        <v>0</v>
      </c>
      <c r="AG16" s="74">
        <v>0</v>
      </c>
      <c r="AH16" s="97">
        <v>0</v>
      </c>
      <c r="AI16" s="71">
        <v>139</v>
      </c>
      <c r="AJ16" s="71">
        <v>161</v>
      </c>
      <c r="AK16" s="97">
        <v>139</v>
      </c>
      <c r="AL16" s="70"/>
      <c r="AM16" s="70"/>
      <c r="AN16" s="70"/>
      <c r="AO16" s="70">
        <f t="shared" si="3"/>
        <v>42537</v>
      </c>
      <c r="AP16" s="60">
        <f t="shared" si="4"/>
        <v>76639</v>
      </c>
      <c r="AQ16" s="60">
        <f t="shared" si="5"/>
        <v>48300</v>
      </c>
      <c r="AR16" s="94">
        <v>42537</v>
      </c>
      <c r="AS16" s="16">
        <v>76639</v>
      </c>
      <c r="AT16" s="16">
        <v>48300</v>
      </c>
      <c r="AU16" s="16"/>
      <c r="AV16" s="16"/>
      <c r="AW16" s="16"/>
      <c r="AX16" s="16"/>
      <c r="AY16" s="16"/>
    </row>
    <row r="17" spans="1:51" s="17" customFormat="1" ht="12.75" customHeight="1" x14ac:dyDescent="0.25">
      <c r="A17" s="78" t="s">
        <v>27</v>
      </c>
      <c r="B17" s="71">
        <v>8000</v>
      </c>
      <c r="C17" s="71">
        <v>7733</v>
      </c>
      <c r="D17" s="70">
        <v>12035</v>
      </c>
      <c r="E17" s="71">
        <v>4000</v>
      </c>
      <c r="F17" s="71">
        <v>5704</v>
      </c>
      <c r="G17" s="97">
        <v>4104</v>
      </c>
      <c r="H17" s="71">
        <v>3000</v>
      </c>
      <c r="I17" s="71">
        <v>2970</v>
      </c>
      <c r="J17" s="97">
        <v>3224</v>
      </c>
      <c r="K17" s="71">
        <v>2900</v>
      </c>
      <c r="L17" s="71">
        <v>2899</v>
      </c>
      <c r="M17" s="97">
        <v>2449</v>
      </c>
      <c r="N17" s="71">
        <v>1500</v>
      </c>
      <c r="O17" s="71">
        <v>1567</v>
      </c>
      <c r="P17" s="97">
        <v>3168</v>
      </c>
      <c r="Q17" s="71">
        <v>2100</v>
      </c>
      <c r="R17" s="71">
        <v>2101</v>
      </c>
      <c r="S17" s="97">
        <v>1570</v>
      </c>
      <c r="T17" s="72">
        <f t="shared" si="2"/>
        <v>6500</v>
      </c>
      <c r="U17" s="72">
        <f t="shared" si="2"/>
        <v>6567</v>
      </c>
      <c r="V17" s="72">
        <f t="shared" si="2"/>
        <v>7187</v>
      </c>
      <c r="W17" s="73">
        <v>6500</v>
      </c>
      <c r="X17" s="73">
        <v>6567</v>
      </c>
      <c r="Y17" s="97">
        <v>7187</v>
      </c>
      <c r="Z17" s="71">
        <v>5000</v>
      </c>
      <c r="AA17" s="74">
        <v>5211</v>
      </c>
      <c r="AB17" s="97">
        <v>2451</v>
      </c>
      <c r="AC17" s="71">
        <v>1700</v>
      </c>
      <c r="AD17" s="74">
        <v>2148</v>
      </c>
      <c r="AE17" s="97">
        <v>846</v>
      </c>
      <c r="AF17" s="71">
        <v>1500</v>
      </c>
      <c r="AG17" s="74">
        <v>1327</v>
      </c>
      <c r="AH17" s="97">
        <v>456</v>
      </c>
      <c r="AI17" s="71">
        <v>165</v>
      </c>
      <c r="AJ17" s="71">
        <v>913</v>
      </c>
      <c r="AK17" s="97">
        <v>165</v>
      </c>
      <c r="AL17" s="70"/>
      <c r="AM17" s="70"/>
      <c r="AN17" s="70"/>
      <c r="AO17" s="70">
        <f t="shared" si="3"/>
        <v>29865</v>
      </c>
      <c r="AP17" s="60">
        <f t="shared" si="4"/>
        <v>32573</v>
      </c>
      <c r="AQ17" s="60">
        <f t="shared" si="5"/>
        <v>30468</v>
      </c>
      <c r="AR17" s="94">
        <v>29865</v>
      </c>
      <c r="AS17" s="16">
        <v>32573</v>
      </c>
      <c r="AT17" s="16">
        <v>30468</v>
      </c>
      <c r="AU17" s="16"/>
      <c r="AV17" s="16"/>
      <c r="AW17" s="16"/>
      <c r="AX17" s="16"/>
      <c r="AY17" s="16"/>
    </row>
    <row r="18" spans="1:51" s="17" customFormat="1" ht="12.75" customHeight="1" x14ac:dyDescent="0.25">
      <c r="A18" s="78" t="s">
        <v>28</v>
      </c>
      <c r="B18" s="71">
        <v>500</v>
      </c>
      <c r="C18" s="71">
        <v>420</v>
      </c>
      <c r="D18" s="70">
        <v>164372</v>
      </c>
      <c r="E18" s="71">
        <v>200</v>
      </c>
      <c r="F18" s="71">
        <v>255</v>
      </c>
      <c r="G18" s="97">
        <v>99</v>
      </c>
      <c r="H18" s="71">
        <v>310</v>
      </c>
      <c r="I18" s="71">
        <v>204</v>
      </c>
      <c r="J18" s="97">
        <v>310</v>
      </c>
      <c r="K18" s="71">
        <v>115</v>
      </c>
      <c r="L18" s="71">
        <v>110</v>
      </c>
      <c r="M18" s="97">
        <v>114</v>
      </c>
      <c r="N18" s="71">
        <v>190</v>
      </c>
      <c r="O18" s="71">
        <v>188</v>
      </c>
      <c r="P18" s="97">
        <v>3361</v>
      </c>
      <c r="Q18" s="71">
        <v>320</v>
      </c>
      <c r="R18" s="71">
        <v>310</v>
      </c>
      <c r="S18" s="97">
        <v>292</v>
      </c>
      <c r="T18" s="72">
        <f t="shared" si="2"/>
        <v>625</v>
      </c>
      <c r="U18" s="72">
        <f t="shared" si="2"/>
        <v>608</v>
      </c>
      <c r="V18" s="72">
        <f t="shared" si="2"/>
        <v>3767</v>
      </c>
      <c r="W18" s="73">
        <v>625</v>
      </c>
      <c r="X18" s="73">
        <v>608</v>
      </c>
      <c r="Y18" s="97">
        <v>3767</v>
      </c>
      <c r="Z18" s="71">
        <v>15000</v>
      </c>
      <c r="AA18" s="74">
        <v>3842</v>
      </c>
      <c r="AB18" s="97">
        <v>33242</v>
      </c>
      <c r="AC18" s="71">
        <v>120</v>
      </c>
      <c r="AD18" s="74">
        <v>62</v>
      </c>
      <c r="AE18" s="97">
        <v>252</v>
      </c>
      <c r="AF18" s="71">
        <v>250</v>
      </c>
      <c r="AG18" s="74">
        <v>232</v>
      </c>
      <c r="AH18" s="97">
        <v>168</v>
      </c>
      <c r="AI18" s="71">
        <v>500</v>
      </c>
      <c r="AJ18" s="71">
        <v>4</v>
      </c>
      <c r="AK18" s="97">
        <v>554</v>
      </c>
      <c r="AL18" s="70"/>
      <c r="AM18" s="70"/>
      <c r="AN18" s="70"/>
      <c r="AO18" s="70">
        <f t="shared" si="3"/>
        <v>17505</v>
      </c>
      <c r="AP18" s="60">
        <f t="shared" si="4"/>
        <v>5627</v>
      </c>
      <c r="AQ18" s="60">
        <f t="shared" si="5"/>
        <v>202764</v>
      </c>
      <c r="AR18" s="94">
        <v>17505</v>
      </c>
      <c r="AS18" s="16">
        <v>5627</v>
      </c>
      <c r="AT18" s="16">
        <v>202764</v>
      </c>
      <c r="AU18" s="16"/>
      <c r="AV18" s="16"/>
      <c r="AW18" s="16"/>
      <c r="AX18" s="16"/>
      <c r="AY18" s="16"/>
    </row>
    <row r="19" spans="1:51" s="17" customFormat="1" ht="12.75" customHeight="1" x14ac:dyDescent="0.25">
      <c r="A19" s="78" t="s">
        <v>106</v>
      </c>
      <c r="B19" s="71">
        <v>57000</v>
      </c>
      <c r="C19" s="71">
        <v>57152</v>
      </c>
      <c r="D19" s="70">
        <v>0</v>
      </c>
      <c r="E19" s="71">
        <v>0</v>
      </c>
      <c r="F19" s="71"/>
      <c r="G19" s="97">
        <v>124</v>
      </c>
      <c r="H19" s="71">
        <v>2000</v>
      </c>
      <c r="I19" s="71">
        <v>2245</v>
      </c>
      <c r="J19" s="97">
        <v>1223</v>
      </c>
      <c r="K19" s="71">
        <v>0</v>
      </c>
      <c r="L19" s="71">
        <v>0</v>
      </c>
      <c r="M19" s="97">
        <v>0</v>
      </c>
      <c r="N19" s="71">
        <v>0</v>
      </c>
      <c r="O19" s="71">
        <v>0</v>
      </c>
      <c r="P19" s="97">
        <v>0</v>
      </c>
      <c r="Q19" s="71">
        <v>0</v>
      </c>
      <c r="R19" s="71">
        <v>0</v>
      </c>
      <c r="S19" s="97">
        <v>0</v>
      </c>
      <c r="T19" s="72">
        <f t="shared" si="2"/>
        <v>0</v>
      </c>
      <c r="U19" s="72">
        <f t="shared" si="2"/>
        <v>0</v>
      </c>
      <c r="V19" s="72">
        <f t="shared" si="2"/>
        <v>0</v>
      </c>
      <c r="W19" s="73">
        <v>0</v>
      </c>
      <c r="X19" s="73">
        <v>0</v>
      </c>
      <c r="Y19" s="97">
        <v>0</v>
      </c>
      <c r="Z19" s="71">
        <v>0</v>
      </c>
      <c r="AA19" s="71">
        <v>754</v>
      </c>
      <c r="AB19" s="97">
        <v>0</v>
      </c>
      <c r="AC19" s="71">
        <v>3420</v>
      </c>
      <c r="AD19" s="71">
        <v>3240</v>
      </c>
      <c r="AE19" s="97">
        <v>5375</v>
      </c>
      <c r="AF19" s="71">
        <v>7000</v>
      </c>
      <c r="AG19" s="71">
        <v>7000</v>
      </c>
      <c r="AH19" s="97">
        <v>0</v>
      </c>
      <c r="AI19" s="71">
        <v>0</v>
      </c>
      <c r="AJ19" s="71">
        <v>91</v>
      </c>
      <c r="AK19" s="97">
        <v>0</v>
      </c>
      <c r="AL19" s="70"/>
      <c r="AM19" s="70"/>
      <c r="AN19" s="70"/>
      <c r="AO19" s="70">
        <f t="shared" si="3"/>
        <v>69420</v>
      </c>
      <c r="AP19" s="60">
        <f t="shared" si="4"/>
        <v>70482</v>
      </c>
      <c r="AQ19" s="60">
        <f t="shared" si="5"/>
        <v>6722</v>
      </c>
      <c r="AR19" s="94">
        <v>69420</v>
      </c>
      <c r="AS19" s="16">
        <v>70482</v>
      </c>
      <c r="AT19" s="16">
        <v>6722</v>
      </c>
      <c r="AU19" s="16"/>
      <c r="AV19" s="16"/>
      <c r="AW19" s="16"/>
      <c r="AX19" s="16"/>
      <c r="AY19" s="16"/>
    </row>
    <row r="20" spans="1:51" s="17" customFormat="1" ht="12.75" customHeight="1" x14ac:dyDescent="0.25">
      <c r="A20" s="78" t="s">
        <v>29</v>
      </c>
      <c r="B20" s="71">
        <v>0</v>
      </c>
      <c r="C20" s="71">
        <v>0</v>
      </c>
      <c r="D20" s="70">
        <v>0</v>
      </c>
      <c r="E20" s="71">
        <v>0</v>
      </c>
      <c r="F20" s="71">
        <v>0</v>
      </c>
      <c r="G20" s="97">
        <v>0</v>
      </c>
      <c r="H20" s="71">
        <v>0</v>
      </c>
      <c r="I20" s="71">
        <v>0</v>
      </c>
      <c r="J20" s="97">
        <v>0</v>
      </c>
      <c r="K20" s="71">
        <v>0</v>
      </c>
      <c r="L20" s="71">
        <v>0</v>
      </c>
      <c r="M20" s="97">
        <v>0</v>
      </c>
      <c r="N20" s="71">
        <v>0</v>
      </c>
      <c r="O20" s="71">
        <v>0</v>
      </c>
      <c r="P20" s="97">
        <v>0</v>
      </c>
      <c r="Q20" s="71">
        <v>0</v>
      </c>
      <c r="R20" s="71">
        <v>0</v>
      </c>
      <c r="S20" s="97">
        <v>0</v>
      </c>
      <c r="T20" s="72">
        <f t="shared" si="2"/>
        <v>0</v>
      </c>
      <c r="U20" s="72">
        <f t="shared" si="2"/>
        <v>0</v>
      </c>
      <c r="V20" s="72">
        <f t="shared" si="2"/>
        <v>0</v>
      </c>
      <c r="W20" s="73">
        <f>SUM(T20:V20)</f>
        <v>0</v>
      </c>
      <c r="X20" s="73">
        <v>0</v>
      </c>
      <c r="Y20" s="97">
        <v>0</v>
      </c>
      <c r="Z20" s="71">
        <v>0</v>
      </c>
      <c r="AA20" s="71">
        <v>0</v>
      </c>
      <c r="AB20" s="97">
        <v>0</v>
      </c>
      <c r="AC20" s="71">
        <v>6800</v>
      </c>
      <c r="AD20" s="71">
        <v>6844</v>
      </c>
      <c r="AE20" s="97">
        <v>6789</v>
      </c>
      <c r="AF20" s="71">
        <v>0</v>
      </c>
      <c r="AG20" s="71">
        <v>0</v>
      </c>
      <c r="AH20" s="97">
        <v>0</v>
      </c>
      <c r="AI20" s="71">
        <v>0</v>
      </c>
      <c r="AJ20" s="71">
        <v>0</v>
      </c>
      <c r="AK20" s="97">
        <v>0</v>
      </c>
      <c r="AL20" s="70"/>
      <c r="AM20" s="70"/>
      <c r="AN20" s="70"/>
      <c r="AO20" s="70">
        <f t="shared" si="3"/>
        <v>6800</v>
      </c>
      <c r="AP20" s="60">
        <f t="shared" si="4"/>
        <v>6844</v>
      </c>
      <c r="AQ20" s="60">
        <f t="shared" si="5"/>
        <v>6789</v>
      </c>
      <c r="AR20" s="94">
        <v>6800</v>
      </c>
      <c r="AS20" s="16">
        <v>6844</v>
      </c>
      <c r="AT20" s="16">
        <v>6789</v>
      </c>
      <c r="AU20" s="16"/>
      <c r="AV20" s="16"/>
      <c r="AW20" s="16"/>
      <c r="AX20" s="16"/>
      <c r="AY20" s="16"/>
    </row>
    <row r="21" spans="1:51" s="17" customFormat="1" ht="12.75" customHeight="1" x14ac:dyDescent="0.25">
      <c r="A21" s="78" t="s">
        <v>108</v>
      </c>
      <c r="B21" s="71"/>
      <c r="C21" s="71">
        <v>0</v>
      </c>
      <c r="D21" s="70">
        <v>0</v>
      </c>
      <c r="E21" s="71">
        <v>0</v>
      </c>
      <c r="F21" s="71">
        <v>-322</v>
      </c>
      <c r="G21" s="97">
        <v>0</v>
      </c>
      <c r="H21" s="71">
        <v>0</v>
      </c>
      <c r="I21" s="71">
        <v>0</v>
      </c>
      <c r="J21" s="97">
        <v>0</v>
      </c>
      <c r="K21" s="71">
        <v>0</v>
      </c>
      <c r="L21" s="71">
        <v>-39</v>
      </c>
      <c r="M21" s="97">
        <v>0</v>
      </c>
      <c r="N21" s="71">
        <v>0</v>
      </c>
      <c r="O21" s="71">
        <v>-191</v>
      </c>
      <c r="P21" s="97">
        <v>0</v>
      </c>
      <c r="Q21" s="71">
        <v>0</v>
      </c>
      <c r="R21" s="71">
        <v>-167</v>
      </c>
      <c r="S21" s="97">
        <v>0</v>
      </c>
      <c r="T21" s="72">
        <f t="shared" si="2"/>
        <v>0</v>
      </c>
      <c r="U21" s="72">
        <f t="shared" si="2"/>
        <v>-397</v>
      </c>
      <c r="V21" s="72">
        <f t="shared" si="2"/>
        <v>0</v>
      </c>
      <c r="W21" s="73">
        <v>0</v>
      </c>
      <c r="X21" s="73">
        <v>-397</v>
      </c>
      <c r="Y21" s="97">
        <v>0</v>
      </c>
      <c r="Z21" s="71">
        <v>0</v>
      </c>
      <c r="AA21" s="71">
        <v>0</v>
      </c>
      <c r="AB21" s="97">
        <v>0</v>
      </c>
      <c r="AC21" s="71">
        <v>0</v>
      </c>
      <c r="AD21" s="71">
        <v>0</v>
      </c>
      <c r="AE21" s="97">
        <v>0</v>
      </c>
      <c r="AF21" s="71">
        <v>0</v>
      </c>
      <c r="AG21" s="71">
        <v>0</v>
      </c>
      <c r="AH21" s="97">
        <v>0</v>
      </c>
      <c r="AI21" s="71">
        <v>0</v>
      </c>
      <c r="AJ21" s="71">
        <v>0</v>
      </c>
      <c r="AK21" s="97">
        <v>0</v>
      </c>
      <c r="AL21" s="70"/>
      <c r="AM21" s="70"/>
      <c r="AN21" s="70"/>
      <c r="AO21" s="70">
        <f t="shared" si="3"/>
        <v>0</v>
      </c>
      <c r="AP21" s="60">
        <f t="shared" si="4"/>
        <v>-719</v>
      </c>
      <c r="AQ21" s="60">
        <f t="shared" si="5"/>
        <v>0</v>
      </c>
      <c r="AR21" s="94">
        <v>0</v>
      </c>
      <c r="AS21" s="16">
        <v>-719</v>
      </c>
      <c r="AT21" s="16">
        <v>0</v>
      </c>
      <c r="AU21" s="16"/>
      <c r="AV21" s="16"/>
      <c r="AW21" s="16"/>
      <c r="AX21" s="16"/>
      <c r="AY21" s="16"/>
    </row>
    <row r="22" spans="1:51" s="30" customFormat="1" ht="12.75" customHeight="1" x14ac:dyDescent="0.25">
      <c r="A22" s="79" t="s">
        <v>30</v>
      </c>
      <c r="B22" s="71">
        <f t="shared" ref="B22:AL22" si="6">SUM(B14:B21)</f>
        <v>646500</v>
      </c>
      <c r="C22" s="71">
        <f t="shared" si="6"/>
        <v>651235</v>
      </c>
      <c r="D22" s="70">
        <f t="shared" si="6"/>
        <v>733224</v>
      </c>
      <c r="E22" s="71">
        <f t="shared" si="6"/>
        <v>480400</v>
      </c>
      <c r="F22" s="71">
        <f t="shared" si="6"/>
        <v>488485</v>
      </c>
      <c r="G22" s="70">
        <f t="shared" si="6"/>
        <v>479882</v>
      </c>
      <c r="H22" s="71">
        <f t="shared" si="6"/>
        <v>276310</v>
      </c>
      <c r="I22" s="71">
        <f>SUM(I14:I21)</f>
        <v>283309</v>
      </c>
      <c r="J22" s="70">
        <f t="shared" si="6"/>
        <v>275525</v>
      </c>
      <c r="K22" s="71">
        <f t="shared" si="6"/>
        <v>119415</v>
      </c>
      <c r="L22" s="71">
        <f t="shared" si="6"/>
        <v>122573</v>
      </c>
      <c r="M22" s="70">
        <f t="shared" si="6"/>
        <v>119563</v>
      </c>
      <c r="N22" s="71">
        <f t="shared" si="6"/>
        <v>86880</v>
      </c>
      <c r="O22" s="71">
        <f t="shared" si="6"/>
        <v>87686</v>
      </c>
      <c r="P22" s="70">
        <f t="shared" si="6"/>
        <v>92113</v>
      </c>
      <c r="Q22" s="71">
        <f t="shared" si="6"/>
        <v>56628</v>
      </c>
      <c r="R22" s="71">
        <f t="shared" si="6"/>
        <v>55969</v>
      </c>
      <c r="S22" s="70">
        <f t="shared" si="6"/>
        <v>54391</v>
      </c>
      <c r="T22" s="71">
        <f t="shared" si="6"/>
        <v>262923</v>
      </c>
      <c r="U22" s="71">
        <f t="shared" si="6"/>
        <v>266228</v>
      </c>
      <c r="V22" s="71">
        <f t="shared" si="6"/>
        <v>266067</v>
      </c>
      <c r="W22" s="71">
        <f t="shared" si="6"/>
        <v>262923</v>
      </c>
      <c r="X22" s="71">
        <f t="shared" si="6"/>
        <v>266228</v>
      </c>
      <c r="Y22" s="70">
        <f t="shared" si="6"/>
        <v>266067</v>
      </c>
      <c r="Z22" s="71">
        <f t="shared" si="6"/>
        <v>216200</v>
      </c>
      <c r="AA22" s="71">
        <f t="shared" si="6"/>
        <v>236421</v>
      </c>
      <c r="AB22" s="70">
        <f t="shared" si="6"/>
        <v>230747</v>
      </c>
      <c r="AC22" s="71">
        <f t="shared" si="6"/>
        <v>114240</v>
      </c>
      <c r="AD22" s="71">
        <f t="shared" si="6"/>
        <v>115327</v>
      </c>
      <c r="AE22" s="70">
        <f t="shared" si="6"/>
        <v>116633</v>
      </c>
      <c r="AF22" s="71">
        <f t="shared" si="6"/>
        <v>119640</v>
      </c>
      <c r="AG22" s="71">
        <f t="shared" si="6"/>
        <v>116205</v>
      </c>
      <c r="AH22" s="70">
        <f t="shared" si="6"/>
        <v>109805</v>
      </c>
      <c r="AI22" s="71">
        <f t="shared" si="6"/>
        <v>72304</v>
      </c>
      <c r="AJ22" s="71">
        <f t="shared" si="6"/>
        <v>75522</v>
      </c>
      <c r="AK22" s="70">
        <f t="shared" si="6"/>
        <v>62912</v>
      </c>
      <c r="AL22" s="71">
        <f t="shared" si="6"/>
        <v>0</v>
      </c>
      <c r="AM22" s="70"/>
      <c r="AN22" s="70"/>
      <c r="AO22" s="70">
        <f t="shared" si="3"/>
        <v>2188517</v>
      </c>
      <c r="AP22" s="60">
        <f t="shared" si="4"/>
        <v>2232732</v>
      </c>
      <c r="AQ22" s="60">
        <f t="shared" si="5"/>
        <v>2274795</v>
      </c>
      <c r="AR22" s="24">
        <f>SUM(AR14:AR21)</f>
        <v>2188517</v>
      </c>
      <c r="AS22" s="24">
        <f>SUM(AS14:AS21)</f>
        <v>2232732</v>
      </c>
      <c r="AT22" s="29">
        <f>SUM(AT14:AT21)</f>
        <v>2274795</v>
      </c>
      <c r="AU22" s="29"/>
      <c r="AV22" s="29"/>
      <c r="AW22" s="29"/>
      <c r="AX22" s="29"/>
      <c r="AY22" s="29"/>
    </row>
    <row r="23" spans="1:51" s="5" customFormat="1" ht="14.85" customHeight="1" x14ac:dyDescent="0.25">
      <c r="A23" s="80" t="s">
        <v>31</v>
      </c>
      <c r="B23" s="71">
        <v>29395</v>
      </c>
      <c r="C23" s="71">
        <f>129+29266</f>
        <v>29395</v>
      </c>
      <c r="D23" s="66">
        <f>18178+2358</f>
        <v>20536</v>
      </c>
      <c r="E23" s="71">
        <v>15000</v>
      </c>
      <c r="F23" s="71">
        <f>60+21591</f>
        <v>21651</v>
      </c>
      <c r="G23" s="98">
        <f>5137+6648</f>
        <v>11785</v>
      </c>
      <c r="H23" s="71">
        <v>6178</v>
      </c>
      <c r="I23" s="71">
        <f>3689+14</f>
        <v>3703</v>
      </c>
      <c r="J23" s="98">
        <v>6178</v>
      </c>
      <c r="K23" s="71">
        <v>0</v>
      </c>
      <c r="L23" s="71">
        <v>5228</v>
      </c>
      <c r="M23" s="98">
        <v>2106</v>
      </c>
      <c r="N23" s="71">
        <v>423</v>
      </c>
      <c r="O23" s="71">
        <v>423</v>
      </c>
      <c r="P23" s="98">
        <v>675</v>
      </c>
      <c r="Q23" s="71">
        <v>550</v>
      </c>
      <c r="R23" s="71">
        <v>3320</v>
      </c>
      <c r="S23" s="98">
        <v>551</v>
      </c>
      <c r="T23" s="72">
        <f>K23+N23+Q23</f>
        <v>973</v>
      </c>
      <c r="U23" s="72">
        <f>L23+O23+R23</f>
        <v>8971</v>
      </c>
      <c r="V23" s="72">
        <f>M23+P23+S23</f>
        <v>3332</v>
      </c>
      <c r="W23" s="70">
        <v>973</v>
      </c>
      <c r="X23" s="70">
        <v>8971</v>
      </c>
      <c r="Y23" s="98">
        <v>3332</v>
      </c>
      <c r="Z23" s="71">
        <v>0</v>
      </c>
      <c r="AA23" s="74">
        <v>0</v>
      </c>
      <c r="AB23" s="66">
        <v>0</v>
      </c>
      <c r="AC23" s="71">
        <v>4200</v>
      </c>
      <c r="AD23" s="74">
        <v>3126</v>
      </c>
      <c r="AE23" s="66">
        <f>3411+820</f>
        <v>4231</v>
      </c>
      <c r="AF23" s="71">
        <v>1500</v>
      </c>
      <c r="AG23" s="74">
        <v>1267</v>
      </c>
      <c r="AH23" s="66">
        <v>1718</v>
      </c>
      <c r="AI23" s="71">
        <v>3400</v>
      </c>
      <c r="AJ23" s="71">
        <v>1531</v>
      </c>
      <c r="AK23" s="66">
        <f>1402+772</f>
        <v>2174</v>
      </c>
      <c r="AL23" s="70"/>
      <c r="AM23" s="70"/>
      <c r="AN23" s="70"/>
      <c r="AO23" s="70">
        <f t="shared" si="3"/>
        <v>60646</v>
      </c>
      <c r="AP23" s="60">
        <f t="shared" si="4"/>
        <v>69644</v>
      </c>
      <c r="AQ23" s="60">
        <f t="shared" si="5"/>
        <v>49954</v>
      </c>
      <c r="AR23" s="94">
        <v>60646</v>
      </c>
      <c r="AS23" s="4">
        <v>69644</v>
      </c>
      <c r="AT23" s="4">
        <v>49954</v>
      </c>
      <c r="AU23" s="4"/>
      <c r="AV23" s="4"/>
      <c r="AW23" s="4"/>
      <c r="AX23" s="4"/>
      <c r="AY23" s="4"/>
    </row>
    <row r="24" spans="1:51" s="5" customFormat="1" ht="14.85" customHeight="1" x14ac:dyDescent="0.25">
      <c r="A24" s="69" t="s">
        <v>32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7"/>
      <c r="AB24" s="66"/>
      <c r="AC24" s="66"/>
      <c r="AD24" s="67"/>
      <c r="AE24" s="66"/>
      <c r="AF24" s="66"/>
      <c r="AG24" s="67"/>
      <c r="AH24" s="66"/>
      <c r="AI24" s="66"/>
      <c r="AJ24" s="66"/>
      <c r="AK24" s="66"/>
      <c r="AL24" s="66"/>
      <c r="AM24" s="66"/>
      <c r="AN24" s="66"/>
      <c r="AO24" s="66"/>
      <c r="AP24" s="77"/>
      <c r="AQ24" s="77"/>
      <c r="AR24" s="95"/>
      <c r="AS24" s="4"/>
      <c r="AT24" s="4"/>
      <c r="AU24" s="4"/>
      <c r="AV24" s="4"/>
      <c r="AW24" s="4"/>
      <c r="AX24" s="4"/>
      <c r="AY24" s="4"/>
    </row>
    <row r="25" spans="1:51" s="5" customFormat="1" ht="33.6" customHeight="1" x14ac:dyDescent="0.25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6"/>
      <c r="R25" s="66"/>
      <c r="S25" s="66"/>
      <c r="T25" s="65"/>
      <c r="U25" s="65"/>
      <c r="V25" s="65"/>
      <c r="W25" s="65"/>
      <c r="X25" s="65"/>
      <c r="Y25" s="65"/>
      <c r="Z25" s="65"/>
      <c r="AA25" s="81"/>
      <c r="AB25" s="65"/>
      <c r="AC25" s="65"/>
      <c r="AD25" s="81"/>
      <c r="AE25" s="65"/>
      <c r="AF25" s="65"/>
      <c r="AG25" s="81"/>
      <c r="AH25" s="65"/>
      <c r="AI25" s="65"/>
      <c r="AJ25" s="65"/>
      <c r="AK25" s="65"/>
      <c r="AL25" s="65"/>
      <c r="AM25" s="65"/>
      <c r="AN25" s="65"/>
      <c r="AO25" s="65"/>
      <c r="AP25" s="77"/>
      <c r="AQ25" s="77"/>
      <c r="AR25" s="95"/>
      <c r="AS25" s="4"/>
      <c r="AT25" s="4"/>
      <c r="AU25" s="4"/>
      <c r="AV25" s="4"/>
      <c r="AW25" s="4"/>
      <c r="AX25" s="4"/>
      <c r="AY25" s="4"/>
    </row>
    <row r="26" spans="1:51" s="5" customFormat="1" ht="20.85" customHeight="1" x14ac:dyDescent="0.25">
      <c r="A26" s="82" t="s">
        <v>33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7"/>
      <c r="AB26" s="66"/>
      <c r="AC26" s="66"/>
      <c r="AD26" s="67"/>
      <c r="AE26" s="66"/>
      <c r="AF26" s="71">
        <f>AD26/4*3</f>
        <v>0</v>
      </c>
      <c r="AG26" s="67"/>
      <c r="AH26" s="66"/>
      <c r="AI26" s="66"/>
      <c r="AJ26" s="66"/>
      <c r="AK26" s="66"/>
      <c r="AL26" s="66"/>
      <c r="AM26" s="66"/>
      <c r="AN26" s="66"/>
      <c r="AO26" s="66"/>
      <c r="AP26" s="77"/>
      <c r="AQ26" s="77"/>
      <c r="AR26" s="95"/>
      <c r="AS26" s="4"/>
      <c r="AT26" s="4"/>
      <c r="AU26" s="4"/>
      <c r="AV26" s="4"/>
      <c r="AW26" s="4"/>
      <c r="AX26" s="4"/>
      <c r="AY26" s="4"/>
    </row>
    <row r="27" spans="1:51" s="17" customFormat="1" ht="28.35" customHeight="1" x14ac:dyDescent="0.2">
      <c r="A27" s="59" t="s">
        <v>2</v>
      </c>
      <c r="B27" s="133" t="s">
        <v>3</v>
      </c>
      <c r="C27" s="134"/>
      <c r="D27" s="134"/>
      <c r="E27" s="133" t="s">
        <v>4</v>
      </c>
      <c r="F27" s="134"/>
      <c r="G27" s="134"/>
      <c r="H27" s="133" t="s">
        <v>6</v>
      </c>
      <c r="I27" s="134"/>
      <c r="J27" s="134"/>
      <c r="K27" s="133" t="s">
        <v>7</v>
      </c>
      <c r="L27" s="134"/>
      <c r="M27" s="134"/>
      <c r="N27" s="133" t="s">
        <v>8</v>
      </c>
      <c r="O27" s="134"/>
      <c r="P27" s="134"/>
      <c r="Q27" s="133" t="s">
        <v>9</v>
      </c>
      <c r="R27" s="134"/>
      <c r="S27" s="134"/>
      <c r="T27" s="133" t="s">
        <v>10</v>
      </c>
      <c r="U27" s="134"/>
      <c r="V27" s="134"/>
      <c r="W27" s="133" t="s">
        <v>11</v>
      </c>
      <c r="X27" s="134"/>
      <c r="Y27" s="134"/>
      <c r="Z27" s="133" t="s">
        <v>12</v>
      </c>
      <c r="AA27" s="134"/>
      <c r="AB27" s="134"/>
      <c r="AC27" s="133" t="s">
        <v>13</v>
      </c>
      <c r="AD27" s="134"/>
      <c r="AE27" s="134"/>
      <c r="AF27" s="133" t="s">
        <v>14</v>
      </c>
      <c r="AG27" s="134"/>
      <c r="AH27" s="134"/>
      <c r="AI27" s="135" t="s">
        <v>15</v>
      </c>
      <c r="AJ27" s="136"/>
      <c r="AK27" s="136"/>
      <c r="AL27" s="132" t="s">
        <v>16</v>
      </c>
      <c r="AM27" s="132"/>
      <c r="AN27" s="132"/>
      <c r="AO27" s="132" t="s">
        <v>17</v>
      </c>
      <c r="AP27" s="132"/>
      <c r="AQ27" s="132"/>
      <c r="AR27" s="92"/>
      <c r="AS27" s="16"/>
      <c r="AT27" s="16"/>
      <c r="AU27" s="16"/>
      <c r="AV27" s="16"/>
      <c r="AW27" s="16"/>
      <c r="AX27" s="16"/>
      <c r="AY27" s="16"/>
    </row>
    <row r="28" spans="1:51" s="22" customFormat="1" ht="27" customHeight="1" x14ac:dyDescent="0.2">
      <c r="A28" s="61"/>
      <c r="B28" s="62" t="s">
        <v>114</v>
      </c>
      <c r="C28" s="63" t="s">
        <v>102</v>
      </c>
      <c r="D28" s="63" t="s">
        <v>103</v>
      </c>
      <c r="E28" s="62" t="s">
        <v>114</v>
      </c>
      <c r="F28" s="63" t="s">
        <v>102</v>
      </c>
      <c r="G28" s="63" t="s">
        <v>103</v>
      </c>
      <c r="H28" s="62" t="s">
        <v>114</v>
      </c>
      <c r="I28" s="63" t="s">
        <v>102</v>
      </c>
      <c r="J28" s="63" t="s">
        <v>103</v>
      </c>
      <c r="K28" s="62" t="s">
        <v>114</v>
      </c>
      <c r="L28" s="63" t="s">
        <v>102</v>
      </c>
      <c r="M28" s="63" t="s">
        <v>103</v>
      </c>
      <c r="N28" s="62" t="s">
        <v>114</v>
      </c>
      <c r="O28" s="63" t="s">
        <v>102</v>
      </c>
      <c r="P28" s="63" t="s">
        <v>103</v>
      </c>
      <c r="Q28" s="62" t="s">
        <v>114</v>
      </c>
      <c r="R28" s="63" t="s">
        <v>102</v>
      </c>
      <c r="S28" s="63" t="s">
        <v>103</v>
      </c>
      <c r="T28" s="62" t="s">
        <v>114</v>
      </c>
      <c r="U28" s="63" t="s">
        <v>102</v>
      </c>
      <c r="V28" s="63" t="s">
        <v>103</v>
      </c>
      <c r="W28" s="62" t="s">
        <v>114</v>
      </c>
      <c r="X28" s="63" t="s">
        <v>102</v>
      </c>
      <c r="Y28" s="63" t="s">
        <v>103</v>
      </c>
      <c r="Z28" s="62" t="s">
        <v>114</v>
      </c>
      <c r="AA28" s="63" t="s">
        <v>102</v>
      </c>
      <c r="AB28" s="63" t="s">
        <v>103</v>
      </c>
      <c r="AC28" s="62" t="s">
        <v>114</v>
      </c>
      <c r="AD28" s="63" t="s">
        <v>102</v>
      </c>
      <c r="AE28" s="63" t="s">
        <v>103</v>
      </c>
      <c r="AF28" s="62" t="s">
        <v>114</v>
      </c>
      <c r="AG28" s="63" t="s">
        <v>102</v>
      </c>
      <c r="AH28" s="63" t="s">
        <v>103</v>
      </c>
      <c r="AI28" s="62" t="s">
        <v>114</v>
      </c>
      <c r="AJ28" s="63" t="s">
        <v>102</v>
      </c>
      <c r="AK28" s="63" t="s">
        <v>103</v>
      </c>
      <c r="AL28" s="62" t="s">
        <v>114</v>
      </c>
      <c r="AM28" s="63" t="s">
        <v>102</v>
      </c>
      <c r="AN28" s="63" t="s">
        <v>103</v>
      </c>
      <c r="AO28" s="62" t="s">
        <v>114</v>
      </c>
      <c r="AP28" s="63" t="s">
        <v>102</v>
      </c>
      <c r="AQ28" s="63" t="s">
        <v>103</v>
      </c>
      <c r="AR28" s="93"/>
      <c r="AS28" s="21"/>
      <c r="AT28" s="21"/>
      <c r="AU28" s="21"/>
      <c r="AV28" s="21"/>
      <c r="AW28" s="21"/>
      <c r="AX28" s="21"/>
      <c r="AY28" s="21"/>
    </row>
    <row r="29" spans="1:51" s="17" customFormat="1" ht="12.75" customHeight="1" x14ac:dyDescent="0.25">
      <c r="A29" s="83" t="s">
        <v>34</v>
      </c>
      <c r="B29" s="71">
        <v>14000</v>
      </c>
      <c r="C29" s="71">
        <v>13359</v>
      </c>
      <c r="D29" s="97">
        <f>29+21481</f>
        <v>21510</v>
      </c>
      <c r="E29" s="71">
        <v>8500</v>
      </c>
      <c r="F29" s="71">
        <v>7620</v>
      </c>
      <c r="G29" s="97">
        <v>7588</v>
      </c>
      <c r="H29" s="71">
        <v>2500</v>
      </c>
      <c r="I29" s="71">
        <v>2581</v>
      </c>
      <c r="J29" s="97">
        <f>376+3349</f>
        <v>3725</v>
      </c>
      <c r="K29" s="71">
        <v>1000</v>
      </c>
      <c r="L29" s="71">
        <v>-956</v>
      </c>
      <c r="M29" s="97">
        <f>6+3913</f>
        <v>3919</v>
      </c>
      <c r="N29" s="71">
        <v>532</v>
      </c>
      <c r="O29" s="71">
        <v>532</v>
      </c>
      <c r="P29" s="97">
        <f>5+3606</f>
        <v>3611</v>
      </c>
      <c r="Q29" s="71">
        <v>500</v>
      </c>
      <c r="R29" s="71">
        <v>422</v>
      </c>
      <c r="S29" s="97">
        <f>2+1140</f>
        <v>1142</v>
      </c>
      <c r="T29" s="68">
        <f t="shared" ref="T29:T56" si="7">K29+N29+Q29</f>
        <v>2032</v>
      </c>
      <c r="U29" s="72">
        <f t="shared" ref="U29:U55" si="8">L29+O29+R29</f>
        <v>-2</v>
      </c>
      <c r="V29" s="72">
        <f t="shared" ref="V29:V56" si="9">M29+P29+S29</f>
        <v>8672</v>
      </c>
      <c r="W29" s="73">
        <v>2032</v>
      </c>
      <c r="X29" s="73">
        <v>-2</v>
      </c>
      <c r="Y29" s="97">
        <v>8672</v>
      </c>
      <c r="Z29" s="71">
        <v>8000</v>
      </c>
      <c r="AA29" s="71">
        <v>7617</v>
      </c>
      <c r="AB29" s="97">
        <f>20+6159</f>
        <v>6179</v>
      </c>
      <c r="AC29" s="71">
        <v>2200</v>
      </c>
      <c r="AD29" s="71">
        <v>1939</v>
      </c>
      <c r="AE29" s="97">
        <f>10+2732</f>
        <v>2742</v>
      </c>
      <c r="AF29" s="71">
        <v>2000</v>
      </c>
      <c r="AG29" s="71">
        <v>1812</v>
      </c>
      <c r="AH29" s="97">
        <f>16+2265</f>
        <v>2281</v>
      </c>
      <c r="AI29" s="71">
        <v>2200</v>
      </c>
      <c r="AJ29" s="71">
        <v>2321</v>
      </c>
      <c r="AK29" s="97">
        <v>1919</v>
      </c>
      <c r="AL29" s="70"/>
      <c r="AM29" s="70"/>
      <c r="AN29" s="70"/>
      <c r="AO29" s="68">
        <f t="shared" ref="AO29:AO62" si="10">B29+E29+H29+W29+Z29+AC29+AF29+AI29</f>
        <v>41432</v>
      </c>
      <c r="AP29" s="60">
        <f t="shared" ref="AP29:AP62" si="11">C29+F29+I29+X29+AA29+AD29+AG29+AJ29</f>
        <v>37247</v>
      </c>
      <c r="AQ29" s="60">
        <f t="shared" ref="AQ29:AQ62" si="12">D29+G29+J29+Y29+AB29+AE29+AH29+AK29</f>
        <v>54616</v>
      </c>
      <c r="AR29" s="94">
        <v>41432</v>
      </c>
      <c r="AS29" s="16">
        <v>37247</v>
      </c>
      <c r="AT29" s="16">
        <v>54616</v>
      </c>
      <c r="AU29" s="16"/>
      <c r="AV29" s="16"/>
      <c r="AW29" s="16"/>
      <c r="AX29" s="16"/>
      <c r="AY29" s="16"/>
    </row>
    <row r="30" spans="1:51" s="17" customFormat="1" ht="12.75" customHeight="1" x14ac:dyDescent="0.25">
      <c r="A30" s="84" t="s">
        <v>35</v>
      </c>
      <c r="B30" s="71">
        <v>7700</v>
      </c>
      <c r="C30" s="71">
        <v>7617</v>
      </c>
      <c r="D30" s="97">
        <v>13086</v>
      </c>
      <c r="E30" s="71">
        <v>17000</v>
      </c>
      <c r="F30" s="71">
        <v>16398</v>
      </c>
      <c r="G30" s="97">
        <v>15524</v>
      </c>
      <c r="H30" s="71">
        <v>2200</v>
      </c>
      <c r="I30" s="71">
        <v>2487</v>
      </c>
      <c r="J30" s="97">
        <v>1836</v>
      </c>
      <c r="K30" s="71">
        <v>1500</v>
      </c>
      <c r="L30" s="71">
        <v>1538</v>
      </c>
      <c r="M30" s="97">
        <v>1204</v>
      </c>
      <c r="N30" s="71">
        <v>50</v>
      </c>
      <c r="O30" s="71">
        <v>50</v>
      </c>
      <c r="P30" s="97">
        <v>805</v>
      </c>
      <c r="Q30" s="71">
        <v>0</v>
      </c>
      <c r="R30" s="71">
        <v>0</v>
      </c>
      <c r="S30" s="97">
        <v>0</v>
      </c>
      <c r="T30" s="68">
        <f t="shared" si="7"/>
        <v>1550</v>
      </c>
      <c r="U30" s="72">
        <f t="shared" si="8"/>
        <v>1588</v>
      </c>
      <c r="V30" s="72">
        <f t="shared" si="9"/>
        <v>2009</v>
      </c>
      <c r="W30" s="73">
        <v>1550</v>
      </c>
      <c r="X30" s="73">
        <v>1588</v>
      </c>
      <c r="Y30" s="97">
        <v>2009</v>
      </c>
      <c r="Z30" s="71">
        <v>1700</v>
      </c>
      <c r="AA30" s="71">
        <v>1990</v>
      </c>
      <c r="AB30" s="97">
        <v>1434</v>
      </c>
      <c r="AC30" s="71">
        <v>1100</v>
      </c>
      <c r="AD30" s="71">
        <v>1081</v>
      </c>
      <c r="AE30" s="97">
        <v>1314</v>
      </c>
      <c r="AF30" s="71">
        <v>2800</v>
      </c>
      <c r="AG30" s="71">
        <v>2806</v>
      </c>
      <c r="AH30" s="97">
        <v>2626</v>
      </c>
      <c r="AI30" s="71">
        <v>1150</v>
      </c>
      <c r="AJ30" s="71">
        <v>1164</v>
      </c>
      <c r="AK30" s="97">
        <v>1342</v>
      </c>
      <c r="AL30" s="70"/>
      <c r="AM30" s="70"/>
      <c r="AN30" s="70"/>
      <c r="AO30" s="68">
        <f t="shared" si="10"/>
        <v>35200</v>
      </c>
      <c r="AP30" s="60">
        <f t="shared" si="11"/>
        <v>35131</v>
      </c>
      <c r="AQ30" s="60">
        <f t="shared" si="12"/>
        <v>39171</v>
      </c>
      <c r="AR30" s="94">
        <v>35200</v>
      </c>
      <c r="AS30" s="16">
        <v>35131</v>
      </c>
      <c r="AT30" s="16">
        <v>39171</v>
      </c>
      <c r="AU30" s="16"/>
      <c r="AV30" s="16"/>
      <c r="AW30" s="16"/>
      <c r="AX30" s="16"/>
      <c r="AY30" s="16"/>
    </row>
    <row r="31" spans="1:51" s="17" customFormat="1" ht="12.75" customHeight="1" x14ac:dyDescent="0.25">
      <c r="A31" s="84" t="s">
        <v>36</v>
      </c>
      <c r="B31" s="71">
        <v>68000</v>
      </c>
      <c r="C31" s="71">
        <v>62855</v>
      </c>
      <c r="D31" s="97">
        <v>66499</v>
      </c>
      <c r="E31" s="71">
        <v>70000</v>
      </c>
      <c r="F31" s="71">
        <v>60127</v>
      </c>
      <c r="G31" s="97">
        <v>63144</v>
      </c>
      <c r="H31" s="71">
        <v>36500</v>
      </c>
      <c r="I31" s="71">
        <v>35794</v>
      </c>
      <c r="J31" s="97">
        <v>36181</v>
      </c>
      <c r="K31" s="71">
        <v>9100</v>
      </c>
      <c r="L31" s="71">
        <v>9155</v>
      </c>
      <c r="M31" s="97">
        <v>9965</v>
      </c>
      <c r="N31" s="71">
        <v>9400</v>
      </c>
      <c r="O31" s="71">
        <v>9040</v>
      </c>
      <c r="P31" s="97">
        <v>6728</v>
      </c>
      <c r="Q31" s="71">
        <v>1700</v>
      </c>
      <c r="R31" s="71">
        <v>1487</v>
      </c>
      <c r="S31" s="97">
        <v>1426</v>
      </c>
      <c r="T31" s="68">
        <f t="shared" si="7"/>
        <v>20200</v>
      </c>
      <c r="U31" s="72">
        <f t="shared" si="8"/>
        <v>19682</v>
      </c>
      <c r="V31" s="72">
        <f t="shared" si="9"/>
        <v>18119</v>
      </c>
      <c r="W31" s="73">
        <v>20200</v>
      </c>
      <c r="X31" s="73">
        <v>19682</v>
      </c>
      <c r="Y31" s="97">
        <v>18119</v>
      </c>
      <c r="Z31" s="71">
        <v>20000</v>
      </c>
      <c r="AA31" s="71">
        <v>18575</v>
      </c>
      <c r="AB31" s="97">
        <v>19990</v>
      </c>
      <c r="AC31" s="71">
        <v>16000</v>
      </c>
      <c r="AD31" s="71">
        <v>15454</v>
      </c>
      <c r="AE31" s="97">
        <v>16051</v>
      </c>
      <c r="AF31" s="71">
        <v>11000</v>
      </c>
      <c r="AG31" s="71">
        <v>10767</v>
      </c>
      <c r="AH31" s="97">
        <v>11054</v>
      </c>
      <c r="AI31" s="71">
        <v>12238</v>
      </c>
      <c r="AJ31" s="71">
        <v>11349</v>
      </c>
      <c r="AK31" s="97">
        <v>12238</v>
      </c>
      <c r="AL31" s="70"/>
      <c r="AM31" s="70"/>
      <c r="AN31" s="70"/>
      <c r="AO31" s="68">
        <f t="shared" si="10"/>
        <v>253938</v>
      </c>
      <c r="AP31" s="60">
        <f t="shared" si="11"/>
        <v>234603</v>
      </c>
      <c r="AQ31" s="60">
        <f t="shared" si="12"/>
        <v>243276</v>
      </c>
      <c r="AR31" s="94">
        <v>253938</v>
      </c>
      <c r="AS31" s="16">
        <v>234603</v>
      </c>
      <c r="AT31" s="16">
        <v>243276</v>
      </c>
      <c r="AU31" s="16"/>
      <c r="AV31" s="16"/>
      <c r="AW31" s="16"/>
      <c r="AX31" s="16"/>
      <c r="AY31" s="16"/>
    </row>
    <row r="32" spans="1:51" s="17" customFormat="1" ht="12.75" customHeight="1" x14ac:dyDescent="0.25">
      <c r="A32" s="83" t="s">
        <v>37</v>
      </c>
      <c r="B32" s="71">
        <v>2800</v>
      </c>
      <c r="C32" s="71">
        <v>2765</v>
      </c>
      <c r="D32" s="97">
        <v>1509</v>
      </c>
      <c r="E32" s="71">
        <v>1000</v>
      </c>
      <c r="F32" s="71">
        <v>912</v>
      </c>
      <c r="G32" s="97">
        <v>894</v>
      </c>
      <c r="H32" s="71">
        <v>2700</v>
      </c>
      <c r="I32" s="71">
        <v>2743</v>
      </c>
      <c r="J32" s="97">
        <v>2077</v>
      </c>
      <c r="K32" s="71">
        <v>790</v>
      </c>
      <c r="L32" s="71">
        <v>750</v>
      </c>
      <c r="M32" s="97">
        <v>593</v>
      </c>
      <c r="N32" s="71">
        <v>500</v>
      </c>
      <c r="O32" s="71">
        <v>479</v>
      </c>
      <c r="P32" s="97">
        <v>383</v>
      </c>
      <c r="Q32" s="71">
        <v>127</v>
      </c>
      <c r="R32" s="71">
        <v>127</v>
      </c>
      <c r="S32" s="97">
        <v>78</v>
      </c>
      <c r="T32" s="68">
        <f t="shared" si="7"/>
        <v>1417</v>
      </c>
      <c r="U32" s="72">
        <f t="shared" si="8"/>
        <v>1356</v>
      </c>
      <c r="V32" s="72">
        <f t="shared" si="9"/>
        <v>1054</v>
      </c>
      <c r="W32" s="73">
        <v>1417</v>
      </c>
      <c r="X32" s="73">
        <v>1356</v>
      </c>
      <c r="Y32" s="97">
        <v>1054</v>
      </c>
      <c r="Z32" s="71">
        <v>755</v>
      </c>
      <c r="AA32" s="71">
        <v>913</v>
      </c>
      <c r="AB32" s="97">
        <v>839</v>
      </c>
      <c r="AC32" s="71">
        <v>800</v>
      </c>
      <c r="AD32" s="71">
        <v>838</v>
      </c>
      <c r="AE32" s="97">
        <v>565</v>
      </c>
      <c r="AF32" s="71">
        <v>450</v>
      </c>
      <c r="AG32" s="71">
        <v>442</v>
      </c>
      <c r="AH32" s="97">
        <v>312</v>
      </c>
      <c r="AI32" s="71">
        <v>340</v>
      </c>
      <c r="AJ32" s="71">
        <v>349</v>
      </c>
      <c r="AK32" s="97">
        <f>29+202</f>
        <v>231</v>
      </c>
      <c r="AL32" s="70"/>
      <c r="AM32" s="70"/>
      <c r="AN32" s="70"/>
      <c r="AO32" s="68">
        <f t="shared" si="10"/>
        <v>10262</v>
      </c>
      <c r="AP32" s="60">
        <f t="shared" si="11"/>
        <v>10318</v>
      </c>
      <c r="AQ32" s="60">
        <f t="shared" si="12"/>
        <v>7481</v>
      </c>
      <c r="AR32" s="94">
        <v>10262</v>
      </c>
      <c r="AS32" s="16">
        <v>10318</v>
      </c>
      <c r="AT32" s="16">
        <v>7481</v>
      </c>
      <c r="AU32" s="16"/>
      <c r="AV32" s="16"/>
      <c r="AW32" s="16"/>
      <c r="AX32" s="16"/>
      <c r="AY32" s="16"/>
    </row>
    <row r="33" spans="1:51" s="17" customFormat="1" ht="12.75" customHeight="1" x14ac:dyDescent="0.25">
      <c r="A33" s="83" t="s">
        <v>38</v>
      </c>
      <c r="B33" s="71">
        <v>13000</v>
      </c>
      <c r="C33" s="71">
        <v>12172</v>
      </c>
      <c r="D33" s="97">
        <v>8205</v>
      </c>
      <c r="E33" s="71">
        <v>4500</v>
      </c>
      <c r="F33" s="71">
        <v>4340</v>
      </c>
      <c r="G33" s="97">
        <v>3729</v>
      </c>
      <c r="H33" s="71">
        <v>6000</v>
      </c>
      <c r="I33" s="71">
        <v>6258</v>
      </c>
      <c r="J33" s="97">
        <v>4468</v>
      </c>
      <c r="K33" s="71">
        <v>1600</v>
      </c>
      <c r="L33" s="71">
        <f>119+1441</f>
        <v>1560</v>
      </c>
      <c r="M33" s="97">
        <f>3+669</f>
        <v>672</v>
      </c>
      <c r="N33" s="71">
        <v>100</v>
      </c>
      <c r="O33" s="71">
        <v>97</v>
      </c>
      <c r="P33" s="97">
        <f>2+435</f>
        <v>437</v>
      </c>
      <c r="Q33" s="71">
        <v>50</v>
      </c>
      <c r="R33" s="71">
        <v>46</v>
      </c>
      <c r="S33" s="97">
        <f>1+717</f>
        <v>718</v>
      </c>
      <c r="T33" s="68">
        <f t="shared" si="7"/>
        <v>1750</v>
      </c>
      <c r="U33" s="72">
        <f t="shared" si="8"/>
        <v>1703</v>
      </c>
      <c r="V33" s="72">
        <f t="shared" si="9"/>
        <v>1827</v>
      </c>
      <c r="W33" s="73">
        <v>1750</v>
      </c>
      <c r="X33" s="73">
        <v>1703</v>
      </c>
      <c r="Y33" s="97">
        <v>1827</v>
      </c>
      <c r="Z33" s="71">
        <v>4000</v>
      </c>
      <c r="AA33" s="71">
        <v>4170</v>
      </c>
      <c r="AB33" s="97">
        <f>426+2988</f>
        <v>3414</v>
      </c>
      <c r="AC33" s="71">
        <v>1800</v>
      </c>
      <c r="AD33" s="71">
        <v>1798</v>
      </c>
      <c r="AE33" s="97">
        <f>203+1556</f>
        <v>1759</v>
      </c>
      <c r="AF33" s="71">
        <v>1450</v>
      </c>
      <c r="AG33" s="71">
        <v>1368</v>
      </c>
      <c r="AH33" s="97">
        <f>342+611</f>
        <v>953</v>
      </c>
      <c r="AI33" s="71">
        <v>1200</v>
      </c>
      <c r="AJ33" s="71">
        <v>1151</v>
      </c>
      <c r="AK33" s="97">
        <v>801</v>
      </c>
      <c r="AL33" s="70"/>
      <c r="AM33" s="70"/>
      <c r="AN33" s="70"/>
      <c r="AO33" s="68">
        <f t="shared" si="10"/>
        <v>33700</v>
      </c>
      <c r="AP33" s="60">
        <f t="shared" si="11"/>
        <v>32960</v>
      </c>
      <c r="AQ33" s="60">
        <f t="shared" si="12"/>
        <v>25156</v>
      </c>
      <c r="AR33" s="94">
        <v>33700</v>
      </c>
      <c r="AS33" s="16">
        <v>32960</v>
      </c>
      <c r="AT33" s="16">
        <v>25156</v>
      </c>
      <c r="AU33" s="16"/>
      <c r="AV33" s="16"/>
      <c r="AW33" s="16"/>
      <c r="AX33" s="16"/>
      <c r="AY33" s="16"/>
    </row>
    <row r="34" spans="1:51" s="17" customFormat="1" ht="12.75" customHeight="1" x14ac:dyDescent="0.25">
      <c r="A34" s="83" t="s">
        <v>39</v>
      </c>
      <c r="B34" s="71">
        <v>7500</v>
      </c>
      <c r="C34" s="71">
        <v>7912</v>
      </c>
      <c r="D34" s="97">
        <f>602+6253</f>
        <v>6855</v>
      </c>
      <c r="E34" s="71">
        <v>1100</v>
      </c>
      <c r="F34" s="71">
        <v>1050</v>
      </c>
      <c r="G34" s="97">
        <v>1350</v>
      </c>
      <c r="H34" s="71">
        <v>1000</v>
      </c>
      <c r="I34" s="71">
        <v>1080</v>
      </c>
      <c r="J34" s="97">
        <v>1266</v>
      </c>
      <c r="K34" s="71">
        <v>820</v>
      </c>
      <c r="L34" s="71">
        <v>812</v>
      </c>
      <c r="M34" s="97">
        <f>127+693</f>
        <v>820</v>
      </c>
      <c r="N34" s="71">
        <v>350</v>
      </c>
      <c r="O34" s="71">
        <v>353</v>
      </c>
      <c r="P34" s="97">
        <f>97+288</f>
        <v>385</v>
      </c>
      <c r="Q34" s="71">
        <v>240</v>
      </c>
      <c r="R34" s="71">
        <v>199</v>
      </c>
      <c r="S34" s="97">
        <f>49+188</f>
        <v>237</v>
      </c>
      <c r="T34" s="68">
        <f t="shared" si="7"/>
        <v>1410</v>
      </c>
      <c r="U34" s="72">
        <f t="shared" si="8"/>
        <v>1364</v>
      </c>
      <c r="V34" s="72">
        <f t="shared" si="9"/>
        <v>1442</v>
      </c>
      <c r="W34" s="73">
        <v>1410</v>
      </c>
      <c r="X34" s="73">
        <v>1364</v>
      </c>
      <c r="Y34" s="97">
        <v>1442</v>
      </c>
      <c r="Z34" s="71">
        <v>1000</v>
      </c>
      <c r="AA34" s="71">
        <v>1057</v>
      </c>
      <c r="AB34" s="97">
        <v>1398</v>
      </c>
      <c r="AC34" s="71">
        <v>400</v>
      </c>
      <c r="AD34" s="71">
        <v>400</v>
      </c>
      <c r="AE34" s="97">
        <v>476</v>
      </c>
      <c r="AF34" s="71">
        <v>400</v>
      </c>
      <c r="AG34" s="71">
        <v>372</v>
      </c>
      <c r="AH34" s="97">
        <v>345</v>
      </c>
      <c r="AI34" s="71">
        <v>300</v>
      </c>
      <c r="AJ34" s="71">
        <v>220</v>
      </c>
      <c r="AK34" s="97">
        <v>383</v>
      </c>
      <c r="AL34" s="70"/>
      <c r="AM34" s="70"/>
      <c r="AN34" s="70"/>
      <c r="AO34" s="68">
        <f t="shared" si="10"/>
        <v>13110</v>
      </c>
      <c r="AP34" s="60">
        <f t="shared" si="11"/>
        <v>13455</v>
      </c>
      <c r="AQ34" s="60">
        <f t="shared" si="12"/>
        <v>13515</v>
      </c>
      <c r="AR34" s="94">
        <v>13110</v>
      </c>
      <c r="AS34" s="16">
        <v>13455</v>
      </c>
      <c r="AT34" s="16">
        <v>13515</v>
      </c>
      <c r="AU34" s="16"/>
      <c r="AV34" s="16"/>
      <c r="AW34" s="16"/>
      <c r="AX34" s="16"/>
      <c r="AY34" s="16"/>
    </row>
    <row r="35" spans="1:51" s="5" customFormat="1" ht="12.75" customHeight="1" x14ac:dyDescent="0.25">
      <c r="A35" s="83" t="s">
        <v>40</v>
      </c>
      <c r="B35" s="71">
        <v>24000</v>
      </c>
      <c r="C35" s="71">
        <v>24009</v>
      </c>
      <c r="D35" s="98">
        <f>56+3+6517</f>
        <v>6576</v>
      </c>
      <c r="E35" s="71">
        <v>18000</v>
      </c>
      <c r="F35" s="71">
        <v>18184</v>
      </c>
      <c r="G35" s="98">
        <v>17247</v>
      </c>
      <c r="H35" s="71">
        <v>10000</v>
      </c>
      <c r="I35" s="71">
        <v>10419</v>
      </c>
      <c r="J35" s="98">
        <f>4+9454</f>
        <v>9458</v>
      </c>
      <c r="K35" s="71">
        <v>1500</v>
      </c>
      <c r="L35" s="71">
        <v>1589</v>
      </c>
      <c r="M35" s="98">
        <f>11+1+2193</f>
        <v>2205</v>
      </c>
      <c r="N35" s="71">
        <v>750</v>
      </c>
      <c r="O35" s="71">
        <v>747</v>
      </c>
      <c r="P35" s="98">
        <f>9+1+652</f>
        <v>662</v>
      </c>
      <c r="Q35" s="71">
        <v>350</v>
      </c>
      <c r="R35" s="71">
        <v>319</v>
      </c>
      <c r="S35" s="98">
        <f>5+0+345</f>
        <v>350</v>
      </c>
      <c r="T35" s="68">
        <f t="shared" si="7"/>
        <v>2600</v>
      </c>
      <c r="U35" s="72">
        <f t="shared" si="8"/>
        <v>2655</v>
      </c>
      <c r="V35" s="72">
        <f t="shared" si="9"/>
        <v>3217</v>
      </c>
      <c r="W35" s="73">
        <v>2600</v>
      </c>
      <c r="X35" s="73">
        <v>2655</v>
      </c>
      <c r="Y35" s="98">
        <v>3217</v>
      </c>
      <c r="Z35" s="71">
        <v>2000</v>
      </c>
      <c r="AA35" s="71">
        <v>1652</v>
      </c>
      <c r="AB35" s="98">
        <f>2+8+2063</f>
        <v>2073</v>
      </c>
      <c r="AC35" s="71">
        <v>3500</v>
      </c>
      <c r="AD35" s="71">
        <v>3419</v>
      </c>
      <c r="AE35" s="98">
        <f>4+1+3520</f>
        <v>3525</v>
      </c>
      <c r="AF35" s="71">
        <v>1200</v>
      </c>
      <c r="AG35" s="71">
        <v>1195</v>
      </c>
      <c r="AH35" s="98">
        <f>6+2+714</f>
        <v>722</v>
      </c>
      <c r="AI35" s="71">
        <v>1000</v>
      </c>
      <c r="AJ35" s="71">
        <v>1249</v>
      </c>
      <c r="AK35" s="98">
        <v>577</v>
      </c>
      <c r="AL35" s="70"/>
      <c r="AM35" s="70"/>
      <c r="AN35" s="70"/>
      <c r="AO35" s="68">
        <f t="shared" si="10"/>
        <v>62300</v>
      </c>
      <c r="AP35" s="60">
        <f t="shared" si="11"/>
        <v>62782</v>
      </c>
      <c r="AQ35" s="60">
        <f t="shared" si="12"/>
        <v>43395</v>
      </c>
      <c r="AR35" s="94">
        <v>62300</v>
      </c>
      <c r="AS35" s="4">
        <v>62782</v>
      </c>
      <c r="AT35" s="4">
        <v>43395</v>
      </c>
      <c r="AU35" s="4"/>
      <c r="AV35" s="4"/>
      <c r="AW35" s="4"/>
      <c r="AX35" s="4"/>
      <c r="AY35" s="4"/>
    </row>
    <row r="36" spans="1:51" s="5" customFormat="1" ht="13.5" customHeight="1" x14ac:dyDescent="0.25">
      <c r="A36" s="83" t="s">
        <v>41</v>
      </c>
      <c r="B36" s="71">
        <v>0</v>
      </c>
      <c r="C36" s="71">
        <v>0</v>
      </c>
      <c r="D36" s="98">
        <v>0</v>
      </c>
      <c r="E36" s="71">
        <v>0</v>
      </c>
      <c r="F36" s="71">
        <v>0</v>
      </c>
      <c r="G36" s="98">
        <v>0</v>
      </c>
      <c r="H36" s="71">
        <v>0</v>
      </c>
      <c r="I36" s="71">
        <v>0</v>
      </c>
      <c r="J36" s="98">
        <v>0</v>
      </c>
      <c r="K36" s="71">
        <v>46000</v>
      </c>
      <c r="L36" s="71">
        <v>46157</v>
      </c>
      <c r="M36" s="98">
        <v>45742</v>
      </c>
      <c r="N36" s="71">
        <v>28000</v>
      </c>
      <c r="O36" s="71">
        <v>27882</v>
      </c>
      <c r="P36" s="98">
        <v>27025</v>
      </c>
      <c r="Q36" s="71">
        <v>15000</v>
      </c>
      <c r="R36" s="71">
        <v>15908</v>
      </c>
      <c r="S36" s="98">
        <v>15046</v>
      </c>
      <c r="T36" s="68">
        <f t="shared" si="7"/>
        <v>89000</v>
      </c>
      <c r="U36" s="72">
        <f t="shared" si="8"/>
        <v>89947</v>
      </c>
      <c r="V36" s="72">
        <f t="shared" si="9"/>
        <v>87813</v>
      </c>
      <c r="W36" s="73">
        <v>89000</v>
      </c>
      <c r="X36" s="73">
        <v>89947</v>
      </c>
      <c r="Y36" s="98">
        <v>87813</v>
      </c>
      <c r="Z36" s="71">
        <v>0</v>
      </c>
      <c r="AA36" s="71">
        <v>0</v>
      </c>
      <c r="AB36" s="98">
        <v>0</v>
      </c>
      <c r="AC36" s="71">
        <v>0</v>
      </c>
      <c r="AD36" s="71">
        <v>0</v>
      </c>
      <c r="AE36" s="98">
        <v>0</v>
      </c>
      <c r="AF36" s="71">
        <v>0</v>
      </c>
      <c r="AG36" s="71">
        <v>0</v>
      </c>
      <c r="AH36" s="98">
        <v>0</v>
      </c>
      <c r="AI36" s="71">
        <v>0</v>
      </c>
      <c r="AJ36" s="71">
        <v>0</v>
      </c>
      <c r="AK36" s="98">
        <v>0</v>
      </c>
      <c r="AL36" s="70"/>
      <c r="AM36" s="70"/>
      <c r="AN36" s="70"/>
      <c r="AO36" s="68">
        <f t="shared" si="10"/>
        <v>89000</v>
      </c>
      <c r="AP36" s="60">
        <f t="shared" si="11"/>
        <v>89947</v>
      </c>
      <c r="AQ36" s="60">
        <f t="shared" si="12"/>
        <v>87813</v>
      </c>
      <c r="AR36" s="94">
        <v>89000</v>
      </c>
      <c r="AS36" s="4">
        <v>89947</v>
      </c>
      <c r="AT36" s="4">
        <v>87813</v>
      </c>
      <c r="AU36" s="4"/>
      <c r="AV36" s="4"/>
      <c r="AW36" s="4"/>
      <c r="AX36" s="4"/>
      <c r="AY36" s="4"/>
    </row>
    <row r="37" spans="1:51" s="17" customFormat="1" ht="12.75" customHeight="1" x14ac:dyDescent="0.25">
      <c r="A37" s="83" t="s">
        <v>42</v>
      </c>
      <c r="B37" s="71">
        <v>60000</v>
      </c>
      <c r="C37" s="71">
        <v>60256</v>
      </c>
      <c r="D37" s="97">
        <f>21+86921</f>
        <v>86942</v>
      </c>
      <c r="E37" s="71">
        <v>16000</v>
      </c>
      <c r="F37" s="71">
        <v>16233</v>
      </c>
      <c r="G37" s="97">
        <v>11291</v>
      </c>
      <c r="H37" s="71">
        <v>7000</v>
      </c>
      <c r="I37" s="71">
        <v>7283</v>
      </c>
      <c r="J37" s="97">
        <f>230+10363</f>
        <v>10593</v>
      </c>
      <c r="K37" s="71">
        <v>8500</v>
      </c>
      <c r="L37" s="71">
        <v>8499</v>
      </c>
      <c r="M37" s="97">
        <f>4+3968</f>
        <v>3972</v>
      </c>
      <c r="N37" s="71">
        <v>8700</v>
      </c>
      <c r="O37" s="71">
        <v>8685</v>
      </c>
      <c r="P37" s="97">
        <f>3+7308</f>
        <v>7311</v>
      </c>
      <c r="Q37" s="71">
        <v>3600</v>
      </c>
      <c r="R37" s="71">
        <v>3617</v>
      </c>
      <c r="S37" s="97">
        <f>2+1513</f>
        <v>1515</v>
      </c>
      <c r="T37" s="68">
        <f t="shared" si="7"/>
        <v>20800</v>
      </c>
      <c r="U37" s="72">
        <f t="shared" si="8"/>
        <v>20801</v>
      </c>
      <c r="V37" s="72">
        <f t="shared" si="9"/>
        <v>12798</v>
      </c>
      <c r="W37" s="73">
        <v>20800</v>
      </c>
      <c r="X37" s="73">
        <v>20801</v>
      </c>
      <c r="Y37" s="97">
        <v>12798</v>
      </c>
      <c r="Z37" s="71">
        <v>7000</v>
      </c>
      <c r="AA37" s="71">
        <v>8859</v>
      </c>
      <c r="AB37" s="97">
        <f>4+8480</f>
        <v>8484</v>
      </c>
      <c r="AC37" s="71">
        <v>3500</v>
      </c>
      <c r="AD37" s="71">
        <v>3316</v>
      </c>
      <c r="AE37" s="97">
        <f>2+2457</f>
        <v>2459</v>
      </c>
      <c r="AF37" s="71">
        <v>1500</v>
      </c>
      <c r="AG37" s="71">
        <v>1596</v>
      </c>
      <c r="AH37" s="97">
        <f>3+1409</f>
        <v>1412</v>
      </c>
      <c r="AI37" s="71">
        <v>1500</v>
      </c>
      <c r="AJ37" s="71">
        <v>1374</v>
      </c>
      <c r="AK37" s="97">
        <v>2305</v>
      </c>
      <c r="AL37" s="70"/>
      <c r="AM37" s="70"/>
      <c r="AN37" s="70"/>
      <c r="AO37" s="68">
        <f t="shared" si="10"/>
        <v>117300</v>
      </c>
      <c r="AP37" s="60">
        <f t="shared" si="11"/>
        <v>119718</v>
      </c>
      <c r="AQ37" s="60">
        <f t="shared" si="12"/>
        <v>136284</v>
      </c>
      <c r="AR37" s="94">
        <v>117300</v>
      </c>
      <c r="AS37" s="16">
        <v>119718</v>
      </c>
      <c r="AT37" s="16">
        <v>136284</v>
      </c>
      <c r="AU37" s="16"/>
      <c r="AV37" s="16"/>
      <c r="AW37" s="16"/>
      <c r="AX37" s="16"/>
      <c r="AY37" s="16"/>
    </row>
    <row r="38" spans="1:51" s="51" customFormat="1" ht="12.75" customHeight="1" x14ac:dyDescent="0.25">
      <c r="A38" s="122" t="s">
        <v>43</v>
      </c>
      <c r="B38" s="74">
        <v>58500</v>
      </c>
      <c r="C38" s="74">
        <v>78000</v>
      </c>
      <c r="D38" s="123">
        <v>78000</v>
      </c>
      <c r="E38" s="74">
        <v>31860</v>
      </c>
      <c r="F38" s="74">
        <v>55286</v>
      </c>
      <c r="G38" s="123">
        <v>54593</v>
      </c>
      <c r="H38" s="74">
        <v>7720</v>
      </c>
      <c r="I38" s="74">
        <v>18589</v>
      </c>
      <c r="J38" s="123">
        <v>19192</v>
      </c>
      <c r="K38" s="74">
        <v>3355</v>
      </c>
      <c r="L38" s="74">
        <v>8217</v>
      </c>
      <c r="M38" s="123">
        <v>8315</v>
      </c>
      <c r="N38" s="74">
        <v>2320</v>
      </c>
      <c r="O38" s="74">
        <v>5731</v>
      </c>
      <c r="P38" s="123">
        <v>5789</v>
      </c>
      <c r="Q38" s="74">
        <v>1185</v>
      </c>
      <c r="R38" s="74">
        <v>2911</v>
      </c>
      <c r="S38" s="123">
        <v>2757</v>
      </c>
      <c r="T38" s="124">
        <f t="shared" si="7"/>
        <v>6860</v>
      </c>
      <c r="U38" s="113">
        <f t="shared" si="8"/>
        <v>16859</v>
      </c>
      <c r="V38" s="113">
        <f t="shared" si="9"/>
        <v>16861</v>
      </c>
      <c r="W38" s="125">
        <v>6860</v>
      </c>
      <c r="X38" s="125">
        <v>16859</v>
      </c>
      <c r="Y38" s="123">
        <v>16861</v>
      </c>
      <c r="Z38" s="74">
        <v>5400</v>
      </c>
      <c r="AA38" s="74">
        <v>12455</v>
      </c>
      <c r="AB38" s="123">
        <v>12875</v>
      </c>
      <c r="AC38" s="74">
        <v>2710</v>
      </c>
      <c r="AD38" s="74">
        <v>6579</v>
      </c>
      <c r="AE38" s="123">
        <v>6720</v>
      </c>
      <c r="AF38" s="74">
        <v>4060</v>
      </c>
      <c r="AG38" s="74">
        <v>10730</v>
      </c>
      <c r="AH38" s="123">
        <v>9806</v>
      </c>
      <c r="AI38" s="74">
        <v>1755</v>
      </c>
      <c r="AJ38" s="74">
        <v>4308</v>
      </c>
      <c r="AK38" s="123">
        <v>4374</v>
      </c>
      <c r="AL38" s="108"/>
      <c r="AM38" s="108"/>
      <c r="AN38" s="108"/>
      <c r="AO38" s="124">
        <f t="shared" si="10"/>
        <v>118865</v>
      </c>
      <c r="AP38" s="119">
        <f t="shared" si="11"/>
        <v>202806</v>
      </c>
      <c r="AQ38" s="119">
        <f t="shared" si="12"/>
        <v>202421</v>
      </c>
      <c r="AR38" s="126">
        <v>118865</v>
      </c>
      <c r="AS38" s="127">
        <v>202806</v>
      </c>
      <c r="AT38" s="127">
        <v>202421</v>
      </c>
      <c r="AU38" s="127"/>
      <c r="AV38" s="127"/>
      <c r="AW38" s="127"/>
      <c r="AX38" s="127"/>
      <c r="AY38" s="127"/>
    </row>
    <row r="39" spans="1:51" s="5" customFormat="1" ht="12.75" customHeight="1" x14ac:dyDescent="0.25">
      <c r="A39" s="85" t="s">
        <v>44</v>
      </c>
      <c r="B39" s="71">
        <v>0</v>
      </c>
      <c r="C39" s="71">
        <v>3055</v>
      </c>
      <c r="D39" s="98">
        <v>1118</v>
      </c>
      <c r="E39" s="71">
        <v>200</v>
      </c>
      <c r="F39" s="71">
        <v>263</v>
      </c>
      <c r="G39" s="98">
        <v>189</v>
      </c>
      <c r="H39" s="71">
        <v>2600</v>
      </c>
      <c r="I39" s="71">
        <v>2603</v>
      </c>
      <c r="J39" s="98">
        <v>7116</v>
      </c>
      <c r="K39" s="71">
        <v>11</v>
      </c>
      <c r="L39" s="71">
        <v>11</v>
      </c>
      <c r="M39" s="98">
        <v>21</v>
      </c>
      <c r="N39" s="71">
        <v>0</v>
      </c>
      <c r="O39" s="71">
        <v>11</v>
      </c>
      <c r="P39" s="98">
        <v>228</v>
      </c>
      <c r="Q39" s="71">
        <v>0</v>
      </c>
      <c r="R39" s="71">
        <v>0</v>
      </c>
      <c r="S39" s="98">
        <v>0</v>
      </c>
      <c r="T39" s="68">
        <f t="shared" si="7"/>
        <v>11</v>
      </c>
      <c r="U39" s="72">
        <f t="shared" si="8"/>
        <v>22</v>
      </c>
      <c r="V39" s="72">
        <f t="shared" si="9"/>
        <v>249</v>
      </c>
      <c r="W39" s="73">
        <v>11</v>
      </c>
      <c r="X39" s="73">
        <v>22</v>
      </c>
      <c r="Y39" s="98">
        <v>249</v>
      </c>
      <c r="Z39" s="71">
        <v>500</v>
      </c>
      <c r="AA39" s="71">
        <v>395</v>
      </c>
      <c r="AB39" s="98">
        <v>2618</v>
      </c>
      <c r="AC39" s="71">
        <v>700</v>
      </c>
      <c r="AD39" s="71">
        <v>681</v>
      </c>
      <c r="AE39" s="98">
        <v>916</v>
      </c>
      <c r="AF39" s="71">
        <v>0</v>
      </c>
      <c r="AG39" s="71">
        <v>0</v>
      </c>
      <c r="AH39" s="98">
        <v>0</v>
      </c>
      <c r="AI39" s="71">
        <v>0</v>
      </c>
      <c r="AJ39" s="71">
        <v>31</v>
      </c>
      <c r="AK39" s="98">
        <v>0</v>
      </c>
      <c r="AL39" s="70"/>
      <c r="AM39" s="70"/>
      <c r="AN39" s="70"/>
      <c r="AO39" s="68">
        <f t="shared" si="10"/>
        <v>4011</v>
      </c>
      <c r="AP39" s="60">
        <f t="shared" si="11"/>
        <v>7050</v>
      </c>
      <c r="AQ39" s="60">
        <f t="shared" si="12"/>
        <v>12206</v>
      </c>
      <c r="AR39" s="94">
        <v>4011</v>
      </c>
      <c r="AS39" s="4">
        <v>7050</v>
      </c>
      <c r="AT39" s="4">
        <v>12206</v>
      </c>
      <c r="AU39" s="3"/>
      <c r="AV39" s="4"/>
      <c r="AW39" s="4"/>
      <c r="AX39" s="4"/>
      <c r="AY39" s="4"/>
    </row>
    <row r="40" spans="1:51" s="17" customFormat="1" ht="12.75" customHeight="1" x14ac:dyDescent="0.25">
      <c r="A40" s="83" t="s">
        <v>45</v>
      </c>
      <c r="B40" s="71">
        <v>5000</v>
      </c>
      <c r="C40" s="71">
        <v>4602</v>
      </c>
      <c r="D40" s="97">
        <v>0</v>
      </c>
      <c r="E40" s="71">
        <v>12500</v>
      </c>
      <c r="F40" s="71">
        <v>12466</v>
      </c>
      <c r="G40" s="97">
        <v>23180</v>
      </c>
      <c r="H40" s="71">
        <v>0</v>
      </c>
      <c r="I40" s="71">
        <v>42</v>
      </c>
      <c r="J40" s="97">
        <v>0</v>
      </c>
      <c r="K40" s="71">
        <v>0</v>
      </c>
      <c r="L40" s="71">
        <v>0</v>
      </c>
      <c r="M40" s="97">
        <v>0</v>
      </c>
      <c r="N40" s="71">
        <v>0</v>
      </c>
      <c r="O40" s="71">
        <v>0</v>
      </c>
      <c r="P40" s="97">
        <v>0</v>
      </c>
      <c r="Q40" s="71">
        <v>0</v>
      </c>
      <c r="R40" s="71">
        <v>0</v>
      </c>
      <c r="S40" s="97">
        <v>0</v>
      </c>
      <c r="T40" s="68">
        <f t="shared" si="7"/>
        <v>0</v>
      </c>
      <c r="U40" s="72">
        <f t="shared" si="8"/>
        <v>0</v>
      </c>
      <c r="V40" s="72">
        <f t="shared" si="9"/>
        <v>0</v>
      </c>
      <c r="W40" s="73">
        <v>0</v>
      </c>
      <c r="X40" s="73">
        <v>0</v>
      </c>
      <c r="Y40" s="97">
        <v>0</v>
      </c>
      <c r="Z40" s="71">
        <v>1000</v>
      </c>
      <c r="AA40" s="71">
        <v>1900</v>
      </c>
      <c r="AB40" s="97">
        <v>0</v>
      </c>
      <c r="AC40" s="71">
        <v>0</v>
      </c>
      <c r="AD40" s="71">
        <v>0</v>
      </c>
      <c r="AE40" s="97">
        <v>0</v>
      </c>
      <c r="AF40" s="71">
        <v>0</v>
      </c>
      <c r="AG40" s="71">
        <v>0</v>
      </c>
      <c r="AH40" s="97">
        <v>0</v>
      </c>
      <c r="AI40" s="71">
        <v>10</v>
      </c>
      <c r="AJ40" s="71">
        <v>3</v>
      </c>
      <c r="AK40" s="97">
        <v>7</v>
      </c>
      <c r="AL40" s="70"/>
      <c r="AM40" s="70"/>
      <c r="AN40" s="70"/>
      <c r="AO40" s="68">
        <f t="shared" si="10"/>
        <v>18510</v>
      </c>
      <c r="AP40" s="60">
        <f t="shared" si="11"/>
        <v>19013</v>
      </c>
      <c r="AQ40" s="60">
        <f t="shared" si="12"/>
        <v>23187</v>
      </c>
      <c r="AR40" s="94">
        <v>18510</v>
      </c>
      <c r="AS40" s="16">
        <v>19013</v>
      </c>
      <c r="AT40" s="16">
        <v>23187</v>
      </c>
      <c r="AU40" s="16"/>
      <c r="AV40" s="16"/>
      <c r="AW40" s="16"/>
      <c r="AX40" s="16"/>
      <c r="AY40" s="16"/>
    </row>
    <row r="41" spans="1:51" s="17" customFormat="1" ht="12.75" customHeight="1" x14ac:dyDescent="0.25">
      <c r="A41" s="83" t="s">
        <v>46</v>
      </c>
      <c r="B41" s="71">
        <v>1198</v>
      </c>
      <c r="C41" s="71">
        <v>1198</v>
      </c>
      <c r="D41" s="97">
        <f>1115+858</f>
        <v>1973</v>
      </c>
      <c r="E41" s="71">
        <v>0</v>
      </c>
      <c r="F41" s="71">
        <v>0</v>
      </c>
      <c r="G41" s="97">
        <v>0</v>
      </c>
      <c r="H41" s="71">
        <v>0</v>
      </c>
      <c r="I41" s="71">
        <v>132</v>
      </c>
      <c r="J41" s="97">
        <f>346+172</f>
        <v>518</v>
      </c>
      <c r="K41" s="71">
        <v>196</v>
      </c>
      <c r="L41" s="71">
        <v>196</v>
      </c>
      <c r="M41" s="97">
        <v>235</v>
      </c>
      <c r="N41" s="71">
        <v>180</v>
      </c>
      <c r="O41" s="71">
        <v>11</v>
      </c>
      <c r="P41" s="97">
        <v>181</v>
      </c>
      <c r="Q41" s="71">
        <v>90</v>
      </c>
      <c r="R41" s="71">
        <v>5</v>
      </c>
      <c r="S41" s="97">
        <v>90</v>
      </c>
      <c r="T41" s="68">
        <f t="shared" si="7"/>
        <v>466</v>
      </c>
      <c r="U41" s="72">
        <f t="shared" si="8"/>
        <v>212</v>
      </c>
      <c r="V41" s="72">
        <f t="shared" si="9"/>
        <v>506</v>
      </c>
      <c r="W41" s="73">
        <v>466</v>
      </c>
      <c r="X41" s="73">
        <v>212</v>
      </c>
      <c r="Y41" s="97">
        <v>506</v>
      </c>
      <c r="Z41" s="71">
        <v>100</v>
      </c>
      <c r="AA41" s="71">
        <v>497</v>
      </c>
      <c r="AB41" s="97">
        <v>88</v>
      </c>
      <c r="AC41" s="71">
        <v>200</v>
      </c>
      <c r="AD41" s="71">
        <v>40</v>
      </c>
      <c r="AE41" s="97">
        <v>0</v>
      </c>
      <c r="AF41" s="71">
        <v>0</v>
      </c>
      <c r="AG41" s="71">
        <v>0</v>
      </c>
      <c r="AH41" s="97">
        <v>0</v>
      </c>
      <c r="AI41" s="71">
        <v>0</v>
      </c>
      <c r="AJ41" s="71">
        <v>0</v>
      </c>
      <c r="AK41" s="97">
        <v>0</v>
      </c>
      <c r="AL41" s="70"/>
      <c r="AM41" s="70"/>
      <c r="AN41" s="70"/>
      <c r="AO41" s="68">
        <f t="shared" si="10"/>
        <v>1964</v>
      </c>
      <c r="AP41" s="60">
        <f t="shared" si="11"/>
        <v>2079</v>
      </c>
      <c r="AQ41" s="60">
        <f t="shared" si="12"/>
        <v>3085</v>
      </c>
      <c r="AR41" s="94">
        <v>1964</v>
      </c>
      <c r="AS41" s="16">
        <v>2079</v>
      </c>
      <c r="AT41" s="16">
        <v>3085</v>
      </c>
      <c r="AU41" s="16"/>
      <c r="AV41" s="16"/>
      <c r="AW41" s="16"/>
      <c r="AX41" s="16"/>
      <c r="AY41" s="16"/>
    </row>
    <row r="42" spans="1:51" s="17" customFormat="1" ht="12.75" customHeight="1" x14ac:dyDescent="0.25">
      <c r="A42" s="83" t="s">
        <v>47</v>
      </c>
      <c r="B42" s="71">
        <v>8500</v>
      </c>
      <c r="C42" s="71">
        <v>8974</v>
      </c>
      <c r="D42" s="97">
        <f>159+4252</f>
        <v>4411</v>
      </c>
      <c r="E42" s="71">
        <v>4700</v>
      </c>
      <c r="F42" s="71">
        <v>4655</v>
      </c>
      <c r="G42" s="97">
        <v>4790</v>
      </c>
      <c r="H42" s="71">
        <v>3000</v>
      </c>
      <c r="I42" s="71">
        <v>3023</v>
      </c>
      <c r="J42" s="97">
        <v>2804</v>
      </c>
      <c r="K42" s="71">
        <v>2500</v>
      </c>
      <c r="L42" s="71">
        <v>2570</v>
      </c>
      <c r="M42" s="97">
        <f>33+14+3111</f>
        <v>3158</v>
      </c>
      <c r="N42" s="71">
        <v>1900</v>
      </c>
      <c r="O42" s="71">
        <v>1797</v>
      </c>
      <c r="P42" s="97">
        <f>25+8+1921</f>
        <v>1954</v>
      </c>
      <c r="Q42" s="71">
        <v>1200</v>
      </c>
      <c r="R42" s="71">
        <v>1231</v>
      </c>
      <c r="S42" s="97">
        <f>13+5+1500</f>
        <v>1518</v>
      </c>
      <c r="T42" s="68">
        <f t="shared" si="7"/>
        <v>5600</v>
      </c>
      <c r="U42" s="72">
        <f t="shared" si="8"/>
        <v>5598</v>
      </c>
      <c r="V42" s="72">
        <f t="shared" si="9"/>
        <v>6630</v>
      </c>
      <c r="W42" s="73">
        <v>5600</v>
      </c>
      <c r="X42" s="73">
        <v>5598</v>
      </c>
      <c r="Y42" s="97">
        <v>6630</v>
      </c>
      <c r="Z42" s="71">
        <v>4000</v>
      </c>
      <c r="AA42" s="71">
        <v>4281</v>
      </c>
      <c r="AB42" s="97">
        <f>61+5491</f>
        <v>5552</v>
      </c>
      <c r="AC42" s="71">
        <v>1400</v>
      </c>
      <c r="AD42" s="71">
        <v>1253</v>
      </c>
      <c r="AE42" s="97">
        <f>29+1057</f>
        <v>1086</v>
      </c>
      <c r="AF42" s="71">
        <v>700</v>
      </c>
      <c r="AG42" s="71">
        <v>639</v>
      </c>
      <c r="AH42" s="97">
        <f>49+703</f>
        <v>752</v>
      </c>
      <c r="AI42" s="71">
        <v>850</v>
      </c>
      <c r="AJ42" s="71">
        <v>834</v>
      </c>
      <c r="AK42" s="97">
        <v>920</v>
      </c>
      <c r="AL42" s="70"/>
      <c r="AM42" s="70"/>
      <c r="AN42" s="70"/>
      <c r="AO42" s="68">
        <f t="shared" si="10"/>
        <v>28750</v>
      </c>
      <c r="AP42" s="60">
        <f t="shared" si="11"/>
        <v>29257</v>
      </c>
      <c r="AQ42" s="60">
        <f t="shared" si="12"/>
        <v>26945</v>
      </c>
      <c r="AR42" s="94">
        <v>28750</v>
      </c>
      <c r="AS42" s="16">
        <v>29257</v>
      </c>
      <c r="AT42" s="16">
        <v>26945</v>
      </c>
      <c r="AU42" s="16"/>
      <c r="AV42" s="16"/>
      <c r="AW42" s="16"/>
      <c r="AX42" s="16"/>
      <c r="AY42" s="16"/>
    </row>
    <row r="43" spans="1:51" s="17" customFormat="1" ht="12.75" customHeight="1" x14ac:dyDescent="0.25">
      <c r="A43" s="83" t="s">
        <v>48</v>
      </c>
      <c r="B43" s="71">
        <v>9000</v>
      </c>
      <c r="C43" s="71">
        <v>8948</v>
      </c>
      <c r="D43" s="97">
        <v>9014</v>
      </c>
      <c r="E43" s="71">
        <v>11000</v>
      </c>
      <c r="F43" s="71">
        <v>11032</v>
      </c>
      <c r="G43" s="97">
        <v>9811</v>
      </c>
      <c r="H43" s="71">
        <v>5800</v>
      </c>
      <c r="I43" s="71">
        <v>5853</v>
      </c>
      <c r="J43" s="97">
        <v>4519</v>
      </c>
      <c r="K43" s="71">
        <v>2400</v>
      </c>
      <c r="L43" s="71">
        <v>2410</v>
      </c>
      <c r="M43" s="97">
        <v>2506</v>
      </c>
      <c r="N43" s="71">
        <v>1200</v>
      </c>
      <c r="O43" s="71">
        <v>1197</v>
      </c>
      <c r="P43" s="97">
        <v>1220</v>
      </c>
      <c r="Q43" s="71">
        <v>500</v>
      </c>
      <c r="R43" s="71">
        <v>532</v>
      </c>
      <c r="S43" s="97">
        <v>532</v>
      </c>
      <c r="T43" s="68">
        <f t="shared" si="7"/>
        <v>4100</v>
      </c>
      <c r="U43" s="72">
        <f t="shared" si="8"/>
        <v>4139</v>
      </c>
      <c r="V43" s="72">
        <f t="shared" si="9"/>
        <v>4258</v>
      </c>
      <c r="W43" s="73">
        <v>4100</v>
      </c>
      <c r="X43" s="73">
        <v>4139</v>
      </c>
      <c r="Y43" s="97">
        <v>4258</v>
      </c>
      <c r="Z43" s="71">
        <v>5800</v>
      </c>
      <c r="AA43" s="71">
        <v>5765</v>
      </c>
      <c r="AB43" s="97">
        <v>5181</v>
      </c>
      <c r="AC43" s="71">
        <v>2500</v>
      </c>
      <c r="AD43" s="71">
        <v>2238</v>
      </c>
      <c r="AE43" s="97">
        <v>2166</v>
      </c>
      <c r="AF43" s="71">
        <v>2800</v>
      </c>
      <c r="AG43" s="71">
        <v>2726</v>
      </c>
      <c r="AH43" s="97">
        <v>2819</v>
      </c>
      <c r="AI43" s="71">
        <v>2850</v>
      </c>
      <c r="AJ43" s="71">
        <v>2817</v>
      </c>
      <c r="AK43" s="97">
        <v>2704</v>
      </c>
      <c r="AL43" s="70"/>
      <c r="AM43" s="70"/>
      <c r="AN43" s="70"/>
      <c r="AO43" s="68">
        <f t="shared" si="10"/>
        <v>43850</v>
      </c>
      <c r="AP43" s="60">
        <f t="shared" si="11"/>
        <v>43518</v>
      </c>
      <c r="AQ43" s="60">
        <f t="shared" si="12"/>
        <v>40472</v>
      </c>
      <c r="AR43" s="94">
        <v>43850</v>
      </c>
      <c r="AS43" s="16">
        <v>43518</v>
      </c>
      <c r="AT43" s="16">
        <v>40472</v>
      </c>
      <c r="AU43" s="16"/>
      <c r="AV43" s="16"/>
      <c r="AW43" s="16"/>
      <c r="AX43" s="16"/>
      <c r="AY43" s="16"/>
    </row>
    <row r="44" spans="1:51" s="17" customFormat="1" ht="12.75" customHeight="1" x14ac:dyDescent="0.25">
      <c r="A44" s="83" t="s">
        <v>49</v>
      </c>
      <c r="B44" s="71">
        <v>0</v>
      </c>
      <c r="C44" s="71">
        <v>0</v>
      </c>
      <c r="D44" s="97">
        <v>0</v>
      </c>
      <c r="E44" s="71">
        <v>0</v>
      </c>
      <c r="F44" s="71">
        <v>0</v>
      </c>
      <c r="G44" s="97">
        <v>0</v>
      </c>
      <c r="H44" s="71">
        <v>0</v>
      </c>
      <c r="I44" s="71">
        <v>0</v>
      </c>
      <c r="J44" s="97">
        <v>0</v>
      </c>
      <c r="K44" s="71">
        <v>0</v>
      </c>
      <c r="L44" s="71">
        <v>0</v>
      </c>
      <c r="M44" s="97">
        <v>0</v>
      </c>
      <c r="N44" s="71">
        <v>0</v>
      </c>
      <c r="O44" s="71">
        <v>0</v>
      </c>
      <c r="P44" s="97">
        <v>0</v>
      </c>
      <c r="Q44" s="71">
        <v>0</v>
      </c>
      <c r="R44" s="71">
        <v>0</v>
      </c>
      <c r="S44" s="97">
        <v>0</v>
      </c>
      <c r="T44" s="68">
        <f t="shared" si="7"/>
        <v>0</v>
      </c>
      <c r="U44" s="72">
        <f t="shared" si="8"/>
        <v>0</v>
      </c>
      <c r="V44" s="72">
        <f t="shared" si="9"/>
        <v>0</v>
      </c>
      <c r="W44" s="73">
        <v>0</v>
      </c>
      <c r="X44" s="73">
        <v>0</v>
      </c>
      <c r="Y44" s="97">
        <v>0</v>
      </c>
      <c r="Z44" s="71">
        <v>0</v>
      </c>
      <c r="AA44" s="71">
        <v>0</v>
      </c>
      <c r="AB44" s="97">
        <v>0</v>
      </c>
      <c r="AC44" s="71">
        <v>0</v>
      </c>
      <c r="AD44" s="71">
        <v>0</v>
      </c>
      <c r="AE44" s="97">
        <v>0</v>
      </c>
      <c r="AF44" s="71">
        <v>0</v>
      </c>
      <c r="AG44" s="71">
        <v>0</v>
      </c>
      <c r="AH44" s="97">
        <v>0</v>
      </c>
      <c r="AI44" s="71">
        <v>0</v>
      </c>
      <c r="AJ44" s="71">
        <v>0</v>
      </c>
      <c r="AK44" s="97">
        <v>0</v>
      </c>
      <c r="AL44" s="70"/>
      <c r="AM44" s="70"/>
      <c r="AN44" s="70"/>
      <c r="AO44" s="68">
        <f t="shared" si="10"/>
        <v>0</v>
      </c>
      <c r="AP44" s="60">
        <f t="shared" si="11"/>
        <v>0</v>
      </c>
      <c r="AQ44" s="60">
        <f t="shared" si="12"/>
        <v>0</v>
      </c>
      <c r="AR44" s="94">
        <v>0</v>
      </c>
      <c r="AS44" s="16">
        <v>0</v>
      </c>
      <c r="AT44" s="16">
        <v>0</v>
      </c>
      <c r="AU44" s="16"/>
      <c r="AV44" s="16"/>
      <c r="AW44" s="16"/>
      <c r="AX44" s="16"/>
      <c r="AY44" s="16"/>
    </row>
    <row r="45" spans="1:51" s="17" customFormat="1" ht="12.75" customHeight="1" x14ac:dyDescent="0.25">
      <c r="A45" s="83" t="s">
        <v>50</v>
      </c>
      <c r="B45" s="71">
        <v>0</v>
      </c>
      <c r="C45" s="71">
        <v>0</v>
      </c>
      <c r="D45" s="97">
        <v>0</v>
      </c>
      <c r="E45" s="71">
        <v>0</v>
      </c>
      <c r="F45" s="71">
        <v>0</v>
      </c>
      <c r="G45" s="97">
        <v>0</v>
      </c>
      <c r="H45" s="71">
        <v>0</v>
      </c>
      <c r="I45" s="71">
        <v>0</v>
      </c>
      <c r="J45" s="97">
        <v>0</v>
      </c>
      <c r="K45" s="71">
        <v>0</v>
      </c>
      <c r="L45" s="71">
        <v>0</v>
      </c>
      <c r="M45" s="97">
        <v>0</v>
      </c>
      <c r="N45" s="71">
        <v>0</v>
      </c>
      <c r="O45" s="71">
        <v>0</v>
      </c>
      <c r="P45" s="97">
        <v>0</v>
      </c>
      <c r="Q45" s="71">
        <v>0</v>
      </c>
      <c r="R45" s="71">
        <v>0</v>
      </c>
      <c r="S45" s="97">
        <v>0</v>
      </c>
      <c r="T45" s="68">
        <f t="shared" si="7"/>
        <v>0</v>
      </c>
      <c r="U45" s="72">
        <f t="shared" si="8"/>
        <v>0</v>
      </c>
      <c r="V45" s="72">
        <f t="shared" si="9"/>
        <v>0</v>
      </c>
      <c r="W45" s="73">
        <v>0</v>
      </c>
      <c r="X45" s="73">
        <v>0</v>
      </c>
      <c r="Y45" s="97">
        <v>0</v>
      </c>
      <c r="Z45" s="71">
        <v>13500</v>
      </c>
      <c r="AA45" s="71">
        <v>34359</v>
      </c>
      <c r="AB45" s="97">
        <v>33484</v>
      </c>
      <c r="AC45" s="71">
        <v>0</v>
      </c>
      <c r="AD45" s="71">
        <v>0</v>
      </c>
      <c r="AE45" s="97">
        <v>0</v>
      </c>
      <c r="AF45" s="71">
        <v>20500</v>
      </c>
      <c r="AG45" s="71">
        <v>20399</v>
      </c>
      <c r="AH45" s="97">
        <v>20810</v>
      </c>
      <c r="AI45" s="71">
        <v>0</v>
      </c>
      <c r="AJ45" s="71">
        <v>0</v>
      </c>
      <c r="AK45" s="97">
        <v>0</v>
      </c>
      <c r="AL45" s="70"/>
      <c r="AM45" s="70"/>
      <c r="AN45" s="70"/>
      <c r="AO45" s="68">
        <f t="shared" si="10"/>
        <v>34000</v>
      </c>
      <c r="AP45" s="60">
        <f t="shared" si="11"/>
        <v>54758</v>
      </c>
      <c r="AQ45" s="60">
        <f t="shared" si="12"/>
        <v>54294</v>
      </c>
      <c r="AR45" s="94">
        <v>34000</v>
      </c>
      <c r="AS45" s="16">
        <v>54758</v>
      </c>
      <c r="AT45" s="16">
        <v>54294</v>
      </c>
      <c r="AU45" s="16"/>
      <c r="AV45" s="16"/>
      <c r="AW45" s="16"/>
      <c r="AX45" s="16"/>
      <c r="AY45" s="16"/>
    </row>
    <row r="46" spans="1:51" s="17" customFormat="1" ht="12.75" customHeight="1" x14ac:dyDescent="0.25">
      <c r="A46" s="83" t="s">
        <v>51</v>
      </c>
      <c r="B46" s="71">
        <v>38000</v>
      </c>
      <c r="C46" s="71">
        <f>20+38385</f>
        <v>38405</v>
      </c>
      <c r="D46" s="97">
        <f>3+12765</f>
        <v>12768</v>
      </c>
      <c r="E46" s="71">
        <v>5000</v>
      </c>
      <c r="F46" s="71">
        <v>9228</v>
      </c>
      <c r="G46" s="97">
        <f>7+4019</f>
        <v>4026</v>
      </c>
      <c r="H46" s="71">
        <v>6200</v>
      </c>
      <c r="I46" s="71">
        <v>6317</v>
      </c>
      <c r="J46" s="97">
        <f>54+9082</f>
        <v>9136</v>
      </c>
      <c r="K46" s="71">
        <v>2000</v>
      </c>
      <c r="L46" s="71">
        <v>1885</v>
      </c>
      <c r="M46" s="97">
        <f>1+2025</f>
        <v>2026</v>
      </c>
      <c r="N46" s="71">
        <v>1000</v>
      </c>
      <c r="O46" s="71">
        <v>1005</v>
      </c>
      <c r="P46" s="97">
        <f>2489+1659+1+9290</f>
        <v>13439</v>
      </c>
      <c r="Q46" s="71">
        <v>500</v>
      </c>
      <c r="R46" s="71">
        <v>397</v>
      </c>
      <c r="S46" s="97">
        <v>499</v>
      </c>
      <c r="T46" s="68">
        <f t="shared" si="7"/>
        <v>3500</v>
      </c>
      <c r="U46" s="72">
        <f t="shared" si="8"/>
        <v>3287</v>
      </c>
      <c r="V46" s="72">
        <f t="shared" si="9"/>
        <v>15964</v>
      </c>
      <c r="W46" s="73">
        <v>3500</v>
      </c>
      <c r="X46" s="73">
        <v>3287</v>
      </c>
      <c r="Y46" s="97">
        <v>15964</v>
      </c>
      <c r="Z46" s="71">
        <v>3500</v>
      </c>
      <c r="AA46" s="71">
        <v>3569</v>
      </c>
      <c r="AB46" s="97">
        <f>49+3549</f>
        <v>3598</v>
      </c>
      <c r="AC46" s="71">
        <v>1100</v>
      </c>
      <c r="AD46" s="71">
        <v>1082</v>
      </c>
      <c r="AE46" s="97">
        <f>23+838</f>
        <v>861</v>
      </c>
      <c r="AF46" s="71">
        <v>1900</v>
      </c>
      <c r="AG46" s="71">
        <v>1989</v>
      </c>
      <c r="AH46" s="97">
        <f>39+1410</f>
        <v>1449</v>
      </c>
      <c r="AI46" s="71">
        <v>800</v>
      </c>
      <c r="AJ46" s="71">
        <v>871</v>
      </c>
      <c r="AK46" s="97">
        <f>1+599</f>
        <v>600</v>
      </c>
      <c r="AL46" s="70"/>
      <c r="AM46" s="70"/>
      <c r="AN46" s="70"/>
      <c r="AO46" s="68">
        <f t="shared" si="10"/>
        <v>60000</v>
      </c>
      <c r="AP46" s="60">
        <f t="shared" si="11"/>
        <v>64748</v>
      </c>
      <c r="AQ46" s="60">
        <f t="shared" si="12"/>
        <v>48402</v>
      </c>
      <c r="AR46" s="94">
        <v>60000</v>
      </c>
      <c r="AS46" s="16">
        <v>64748</v>
      </c>
      <c r="AT46" s="16">
        <v>48402</v>
      </c>
      <c r="AU46" s="16"/>
      <c r="AV46" s="16"/>
      <c r="AW46" s="16"/>
      <c r="AX46" s="16"/>
      <c r="AY46" s="16"/>
    </row>
    <row r="47" spans="1:51" s="17" customFormat="1" ht="12.75" customHeight="1" x14ac:dyDescent="0.25">
      <c r="A47" s="86" t="s">
        <v>52</v>
      </c>
      <c r="B47" s="71">
        <v>9500</v>
      </c>
      <c r="C47" s="71">
        <v>9803</v>
      </c>
      <c r="D47" s="97">
        <v>11457</v>
      </c>
      <c r="E47" s="71">
        <v>17000</v>
      </c>
      <c r="F47" s="71">
        <v>17484</v>
      </c>
      <c r="G47" s="97">
        <v>16165</v>
      </c>
      <c r="H47" s="71">
        <v>7400</v>
      </c>
      <c r="I47" s="71">
        <v>7526</v>
      </c>
      <c r="J47" s="97">
        <v>6467</v>
      </c>
      <c r="K47" s="71">
        <v>1500</v>
      </c>
      <c r="L47" s="71">
        <v>1485</v>
      </c>
      <c r="M47" s="97">
        <v>2163</v>
      </c>
      <c r="N47" s="71">
        <v>1000</v>
      </c>
      <c r="O47" s="71">
        <v>979</v>
      </c>
      <c r="P47" s="97">
        <v>1410</v>
      </c>
      <c r="Q47" s="71">
        <v>0</v>
      </c>
      <c r="R47" s="71">
        <v>0</v>
      </c>
      <c r="S47" s="97">
        <v>0</v>
      </c>
      <c r="T47" s="68">
        <f t="shared" si="7"/>
        <v>2500</v>
      </c>
      <c r="U47" s="72">
        <f t="shared" si="8"/>
        <v>2464</v>
      </c>
      <c r="V47" s="72">
        <f t="shared" si="9"/>
        <v>3573</v>
      </c>
      <c r="W47" s="73">
        <v>2500</v>
      </c>
      <c r="X47" s="73">
        <v>2464</v>
      </c>
      <c r="Y47" s="97">
        <v>3573</v>
      </c>
      <c r="Z47" s="71">
        <v>3400</v>
      </c>
      <c r="AA47" s="71">
        <v>3478</v>
      </c>
      <c r="AB47" s="97">
        <v>3601</v>
      </c>
      <c r="AC47" s="71">
        <v>3000</v>
      </c>
      <c r="AD47" s="71">
        <v>2912</v>
      </c>
      <c r="AE47" s="97">
        <v>2339</v>
      </c>
      <c r="AF47" s="71">
        <v>2750</v>
      </c>
      <c r="AG47" s="71">
        <v>2732</v>
      </c>
      <c r="AH47" s="97">
        <v>2017</v>
      </c>
      <c r="AI47" s="71">
        <v>2400</v>
      </c>
      <c r="AJ47" s="71">
        <v>2425</v>
      </c>
      <c r="AK47" s="97">
        <v>2128</v>
      </c>
      <c r="AL47" s="70"/>
      <c r="AM47" s="70"/>
      <c r="AN47" s="70"/>
      <c r="AO47" s="68">
        <f t="shared" si="10"/>
        <v>47950</v>
      </c>
      <c r="AP47" s="60">
        <f t="shared" si="11"/>
        <v>48824</v>
      </c>
      <c r="AQ47" s="60">
        <f t="shared" si="12"/>
        <v>47747</v>
      </c>
      <c r="AR47" s="94">
        <v>47950</v>
      </c>
      <c r="AS47" s="16">
        <v>48824</v>
      </c>
      <c r="AT47" s="16">
        <v>47747</v>
      </c>
      <c r="AU47" s="16"/>
      <c r="AV47" s="16"/>
      <c r="AW47" s="16"/>
      <c r="AX47" s="16"/>
      <c r="AY47" s="16"/>
    </row>
    <row r="48" spans="1:51" s="17" customFormat="1" ht="12.75" customHeight="1" x14ac:dyDescent="0.25">
      <c r="A48" s="83" t="s">
        <v>53</v>
      </c>
      <c r="B48" s="71">
        <v>0</v>
      </c>
      <c r="C48" s="71">
        <v>0</v>
      </c>
      <c r="D48" s="97">
        <v>0</v>
      </c>
      <c r="E48" s="71">
        <v>0</v>
      </c>
      <c r="F48" s="71">
        <v>0</v>
      </c>
      <c r="G48" s="97">
        <v>0</v>
      </c>
      <c r="H48" s="71">
        <v>0</v>
      </c>
      <c r="I48" s="71">
        <v>0</v>
      </c>
      <c r="J48" s="97">
        <v>0</v>
      </c>
      <c r="K48" s="71">
        <v>0</v>
      </c>
      <c r="L48" s="71">
        <v>0</v>
      </c>
      <c r="M48" s="97">
        <v>0</v>
      </c>
      <c r="N48" s="71">
        <v>0</v>
      </c>
      <c r="O48" s="71">
        <v>0</v>
      </c>
      <c r="P48" s="97">
        <v>0</v>
      </c>
      <c r="Q48" s="71">
        <v>0</v>
      </c>
      <c r="R48" s="71">
        <v>0</v>
      </c>
      <c r="S48" s="97">
        <v>0</v>
      </c>
      <c r="T48" s="68">
        <f t="shared" si="7"/>
        <v>0</v>
      </c>
      <c r="U48" s="72">
        <f t="shared" si="8"/>
        <v>0</v>
      </c>
      <c r="V48" s="72">
        <f t="shared" si="9"/>
        <v>0</v>
      </c>
      <c r="W48" s="73">
        <v>0</v>
      </c>
      <c r="X48" s="73">
        <v>0</v>
      </c>
      <c r="Y48" s="97">
        <v>0</v>
      </c>
      <c r="Z48" s="71">
        <v>0</v>
      </c>
      <c r="AA48" s="71">
        <v>0</v>
      </c>
      <c r="AB48" s="97">
        <v>0</v>
      </c>
      <c r="AC48" s="71">
        <v>0</v>
      </c>
      <c r="AD48" s="71">
        <v>0</v>
      </c>
      <c r="AE48" s="97">
        <v>0</v>
      </c>
      <c r="AF48" s="71">
        <v>0</v>
      </c>
      <c r="AG48" s="71">
        <v>0</v>
      </c>
      <c r="AH48" s="97">
        <v>0</v>
      </c>
      <c r="AI48" s="71">
        <v>0</v>
      </c>
      <c r="AJ48" s="71">
        <v>0</v>
      </c>
      <c r="AK48" s="97">
        <v>0</v>
      </c>
      <c r="AL48" s="70"/>
      <c r="AM48" s="70"/>
      <c r="AN48" s="70"/>
      <c r="AO48" s="68">
        <f t="shared" si="10"/>
        <v>0</v>
      </c>
      <c r="AP48" s="60">
        <f t="shared" si="11"/>
        <v>0</v>
      </c>
      <c r="AQ48" s="60">
        <f t="shared" si="12"/>
        <v>0</v>
      </c>
      <c r="AR48" s="94">
        <v>0</v>
      </c>
      <c r="AS48" s="16">
        <v>0</v>
      </c>
      <c r="AT48" s="16">
        <v>0</v>
      </c>
      <c r="AU48" s="16"/>
      <c r="AV48" s="16"/>
      <c r="AW48" s="16"/>
      <c r="AX48" s="16"/>
      <c r="AY48" s="16"/>
    </row>
    <row r="49" spans="1:51" s="17" customFormat="1" ht="12.75" customHeight="1" x14ac:dyDescent="0.25">
      <c r="A49" s="83" t="s">
        <v>54</v>
      </c>
      <c r="B49" s="71">
        <v>650</v>
      </c>
      <c r="C49" s="71">
        <v>652</v>
      </c>
      <c r="D49" s="97">
        <v>382</v>
      </c>
      <c r="E49" s="71">
        <v>350</v>
      </c>
      <c r="F49" s="71">
        <v>339</v>
      </c>
      <c r="G49" s="97">
        <v>242</v>
      </c>
      <c r="H49" s="71">
        <v>335</v>
      </c>
      <c r="I49" s="71">
        <v>264</v>
      </c>
      <c r="J49" s="97">
        <f>39+11+285</f>
        <v>335</v>
      </c>
      <c r="K49" s="71">
        <v>170</v>
      </c>
      <c r="L49" s="71">
        <v>167</v>
      </c>
      <c r="M49" s="97">
        <v>33</v>
      </c>
      <c r="N49" s="71">
        <v>15</v>
      </c>
      <c r="O49" s="71">
        <v>13</v>
      </c>
      <c r="P49" s="97">
        <v>31</v>
      </c>
      <c r="Q49" s="71">
        <v>0</v>
      </c>
      <c r="R49" s="71">
        <v>6</v>
      </c>
      <c r="S49" s="97">
        <v>30</v>
      </c>
      <c r="T49" s="68">
        <f t="shared" si="7"/>
        <v>185</v>
      </c>
      <c r="U49" s="72">
        <f t="shared" si="8"/>
        <v>186</v>
      </c>
      <c r="V49" s="72">
        <f t="shared" si="9"/>
        <v>94</v>
      </c>
      <c r="W49" s="73">
        <v>185</v>
      </c>
      <c r="X49" s="73">
        <v>186</v>
      </c>
      <c r="Y49" s="97">
        <v>94</v>
      </c>
      <c r="Z49" s="71">
        <v>520</v>
      </c>
      <c r="AA49" s="71">
        <v>262</v>
      </c>
      <c r="AB49" s="97">
        <f>7+2+503</f>
        <v>512</v>
      </c>
      <c r="AC49" s="71">
        <v>160</v>
      </c>
      <c r="AD49" s="71">
        <v>158</v>
      </c>
      <c r="AE49" s="97">
        <f>3+1+160</f>
        <v>164</v>
      </c>
      <c r="AF49" s="71">
        <v>200</v>
      </c>
      <c r="AG49" s="71">
        <v>174</v>
      </c>
      <c r="AH49" s="97">
        <f>5+2+63</f>
        <v>70</v>
      </c>
      <c r="AI49" s="71">
        <v>130</v>
      </c>
      <c r="AJ49" s="71">
        <v>104</v>
      </c>
      <c r="AK49" s="97">
        <v>85</v>
      </c>
      <c r="AL49" s="70"/>
      <c r="AM49" s="70"/>
      <c r="AN49" s="70"/>
      <c r="AO49" s="68">
        <f t="shared" si="10"/>
        <v>2530</v>
      </c>
      <c r="AP49" s="60">
        <f t="shared" si="11"/>
        <v>2139</v>
      </c>
      <c r="AQ49" s="60">
        <f t="shared" si="12"/>
        <v>1884</v>
      </c>
      <c r="AR49" s="94">
        <v>2530</v>
      </c>
      <c r="AS49" s="16">
        <v>2139</v>
      </c>
      <c r="AT49" s="16">
        <v>1884</v>
      </c>
      <c r="AU49" s="16"/>
      <c r="AV49" s="16"/>
      <c r="AW49" s="16"/>
      <c r="AX49" s="16"/>
      <c r="AY49" s="16"/>
    </row>
    <row r="50" spans="1:51" s="17" customFormat="1" ht="12.75" customHeight="1" x14ac:dyDescent="0.25">
      <c r="A50" s="83" t="s">
        <v>55</v>
      </c>
      <c r="B50" s="71">
        <v>890</v>
      </c>
      <c r="C50" s="71">
        <v>883</v>
      </c>
      <c r="D50" s="97">
        <f>-D59+8022</f>
        <v>1139</v>
      </c>
      <c r="E50" s="71">
        <v>500</v>
      </c>
      <c r="F50" s="71">
        <v>584</v>
      </c>
      <c r="G50" s="97">
        <f>-G59+8157</f>
        <v>737</v>
      </c>
      <c r="H50" s="71">
        <v>650</v>
      </c>
      <c r="I50" s="71">
        <v>407</v>
      </c>
      <c r="J50" s="97">
        <f>-J59+52+3887</f>
        <v>609</v>
      </c>
      <c r="K50" s="71">
        <v>260</v>
      </c>
      <c r="L50" s="71">
        <v>262</v>
      </c>
      <c r="M50" s="97">
        <f>-M59+1301</f>
        <v>196</v>
      </c>
      <c r="N50" s="71">
        <v>40</v>
      </c>
      <c r="O50" s="71">
        <v>39</v>
      </c>
      <c r="P50" s="97">
        <f>-P59+23+1+985</f>
        <v>360</v>
      </c>
      <c r="Q50" s="71">
        <v>0</v>
      </c>
      <c r="R50" s="71">
        <v>6</v>
      </c>
      <c r="S50" s="97">
        <f>-S59+416</f>
        <v>52</v>
      </c>
      <c r="T50" s="68">
        <f t="shared" si="7"/>
        <v>300</v>
      </c>
      <c r="U50" s="72">
        <f t="shared" si="8"/>
        <v>307</v>
      </c>
      <c r="V50" s="72">
        <f t="shared" si="9"/>
        <v>608</v>
      </c>
      <c r="W50" s="73">
        <v>300</v>
      </c>
      <c r="X50" s="73">
        <v>307</v>
      </c>
      <c r="Y50" s="97">
        <v>608</v>
      </c>
      <c r="Z50" s="71">
        <v>800</v>
      </c>
      <c r="AA50" s="71">
        <v>299</v>
      </c>
      <c r="AB50" s="97">
        <f>-AB59+10+21+2812</f>
        <v>473</v>
      </c>
      <c r="AC50" s="71">
        <v>500</v>
      </c>
      <c r="AD50" s="71">
        <v>108</v>
      </c>
      <c r="AE50" s="97">
        <f>-AE59+10+1567</f>
        <v>168</v>
      </c>
      <c r="AF50" s="71">
        <v>150</v>
      </c>
      <c r="AG50" s="71">
        <v>129</v>
      </c>
      <c r="AH50" s="97">
        <f>-AH59+17+1733</f>
        <v>429</v>
      </c>
      <c r="AI50" s="71">
        <v>85</v>
      </c>
      <c r="AJ50" s="71">
        <v>87</v>
      </c>
      <c r="AK50" s="97">
        <f>-AK59+695</f>
        <v>85</v>
      </c>
      <c r="AL50" s="70"/>
      <c r="AM50" s="70"/>
      <c r="AN50" s="70"/>
      <c r="AO50" s="68">
        <f t="shared" si="10"/>
        <v>3875</v>
      </c>
      <c r="AP50" s="60">
        <f t="shared" si="11"/>
        <v>2804</v>
      </c>
      <c r="AQ50" s="60">
        <f t="shared" si="12"/>
        <v>4248</v>
      </c>
      <c r="AR50" s="94">
        <v>3875</v>
      </c>
      <c r="AS50" s="16">
        <v>2804</v>
      </c>
      <c r="AT50" s="16">
        <v>4248</v>
      </c>
      <c r="AU50" s="16"/>
      <c r="AV50" s="16"/>
      <c r="AW50" s="16"/>
      <c r="AX50" s="16"/>
      <c r="AY50" s="16"/>
    </row>
    <row r="51" spans="1:51" s="17" customFormat="1" ht="12.75" customHeight="1" x14ac:dyDescent="0.25">
      <c r="A51" s="83" t="s">
        <v>56</v>
      </c>
      <c r="B51" s="71">
        <v>142000</v>
      </c>
      <c r="C51" s="71">
        <v>124406</v>
      </c>
      <c r="D51" s="97">
        <f>1507+103283</f>
        <v>104790</v>
      </c>
      <c r="E51" s="71">
        <v>125000</v>
      </c>
      <c r="F51" s="71">
        <v>112669</v>
      </c>
      <c r="G51" s="97">
        <v>96612</v>
      </c>
      <c r="H51" s="71">
        <v>110620</v>
      </c>
      <c r="I51" s="71">
        <v>100558</v>
      </c>
      <c r="J51" s="97">
        <f>9610+81200</f>
        <v>90810</v>
      </c>
      <c r="K51" s="71">
        <v>32000</v>
      </c>
      <c r="L51" s="71">
        <v>28884</v>
      </c>
      <c r="M51" s="97">
        <f>317+848+20735</f>
        <v>21900</v>
      </c>
      <c r="N51" s="71">
        <v>18000</v>
      </c>
      <c r="O51" s="71">
        <v>16752</v>
      </c>
      <c r="P51" s="97">
        <f>244+509+10237</f>
        <v>10990</v>
      </c>
      <c r="Q51" s="71">
        <v>8000</v>
      </c>
      <c r="R51" s="71">
        <v>7587</v>
      </c>
      <c r="S51" s="97">
        <f>122+339+7331</f>
        <v>7792</v>
      </c>
      <c r="T51" s="68">
        <f t="shared" si="7"/>
        <v>58000</v>
      </c>
      <c r="U51" s="72">
        <f t="shared" si="8"/>
        <v>53223</v>
      </c>
      <c r="V51" s="72">
        <f t="shared" si="9"/>
        <v>40682</v>
      </c>
      <c r="W51" s="73">
        <v>58000</v>
      </c>
      <c r="X51" s="73">
        <v>53223</v>
      </c>
      <c r="Y51" s="97">
        <v>40682</v>
      </c>
      <c r="Z51" s="71">
        <v>72800</v>
      </c>
      <c r="AA51" s="71">
        <v>67538</v>
      </c>
      <c r="AB51" s="97">
        <f>2194+54861</f>
        <v>57055</v>
      </c>
      <c r="AC51" s="71">
        <v>58050</v>
      </c>
      <c r="AD51" s="71">
        <v>51816</v>
      </c>
      <c r="AE51" s="97">
        <f>1047+42395</f>
        <v>43442</v>
      </c>
      <c r="AF51" s="71">
        <v>35000</v>
      </c>
      <c r="AG51" s="71">
        <v>31656</v>
      </c>
      <c r="AH51" s="97">
        <f>1759+24235</f>
        <v>25994</v>
      </c>
      <c r="AI51" s="71">
        <v>22400</v>
      </c>
      <c r="AJ51" s="71">
        <v>20249</v>
      </c>
      <c r="AK51" s="97">
        <v>19481</v>
      </c>
      <c r="AL51" s="70"/>
      <c r="AM51" s="70"/>
      <c r="AN51" s="70"/>
      <c r="AO51" s="68">
        <f t="shared" si="10"/>
        <v>623870</v>
      </c>
      <c r="AP51" s="60">
        <f t="shared" si="11"/>
        <v>562115</v>
      </c>
      <c r="AQ51" s="60">
        <f t="shared" si="12"/>
        <v>478866</v>
      </c>
      <c r="AR51" s="94">
        <v>623870</v>
      </c>
      <c r="AS51" s="16">
        <v>562115</v>
      </c>
      <c r="AT51" s="16">
        <v>478866</v>
      </c>
      <c r="AU51" s="16"/>
      <c r="AV51" s="16"/>
      <c r="AW51" s="16"/>
      <c r="AX51" s="16"/>
      <c r="AY51" s="16"/>
    </row>
    <row r="52" spans="1:51" s="17" customFormat="1" ht="12.75" customHeight="1" x14ac:dyDescent="0.25">
      <c r="A52" s="83" t="s">
        <v>57</v>
      </c>
      <c r="B52" s="71">
        <v>30000</v>
      </c>
      <c r="C52" s="71">
        <v>27834</v>
      </c>
      <c r="D52" s="97">
        <f>383+125+22+26976</f>
        <v>27506</v>
      </c>
      <c r="E52" s="71">
        <v>25500</v>
      </c>
      <c r="F52" s="71">
        <v>25179</v>
      </c>
      <c r="G52" s="97">
        <v>25119</v>
      </c>
      <c r="H52" s="71">
        <v>25097</v>
      </c>
      <c r="I52" s="71">
        <v>22814</v>
      </c>
      <c r="J52" s="97">
        <f>2258+82+145+21947</f>
        <v>24432</v>
      </c>
      <c r="K52" s="71">
        <v>6700</v>
      </c>
      <c r="L52" s="71">
        <v>6299</v>
      </c>
      <c r="M52" s="97">
        <f>80+26+5+299+10+13+5519</f>
        <v>5952</v>
      </c>
      <c r="N52" s="71">
        <v>4000</v>
      </c>
      <c r="O52" s="71">
        <v>3800</v>
      </c>
      <c r="P52" s="97">
        <f>62+19+4+180+8+5+2793</f>
        <v>3071</v>
      </c>
      <c r="Q52" s="71">
        <v>2100</v>
      </c>
      <c r="R52" s="71">
        <v>1816</v>
      </c>
      <c r="S52" s="97">
        <f>30+10+2+120+4+6+2076</f>
        <v>2248</v>
      </c>
      <c r="T52" s="68">
        <f t="shared" si="7"/>
        <v>12800</v>
      </c>
      <c r="U52" s="72">
        <f t="shared" si="8"/>
        <v>11915</v>
      </c>
      <c r="V52" s="72">
        <f t="shared" si="9"/>
        <v>11271</v>
      </c>
      <c r="W52" s="73">
        <v>12800</v>
      </c>
      <c r="X52" s="73">
        <v>11915</v>
      </c>
      <c r="Y52" s="97">
        <v>11271</v>
      </c>
      <c r="Z52" s="71">
        <v>16800</v>
      </c>
      <c r="AA52" s="71">
        <v>15171</v>
      </c>
      <c r="AB52" s="97">
        <f>591+17+33+14651</f>
        <v>15292</v>
      </c>
      <c r="AC52" s="71">
        <v>11400</v>
      </c>
      <c r="AD52" s="71">
        <v>11378</v>
      </c>
      <c r="AE52" s="97">
        <f>283+8+16+10961</f>
        <v>11268</v>
      </c>
      <c r="AF52" s="71">
        <v>7500</v>
      </c>
      <c r="AG52" s="71">
        <v>6776</v>
      </c>
      <c r="AH52" s="97">
        <f>474+13+26+6781</f>
        <v>7294</v>
      </c>
      <c r="AI52" s="71">
        <v>5260</v>
      </c>
      <c r="AJ52" s="71">
        <v>4924</v>
      </c>
      <c r="AK52" s="97">
        <v>5677</v>
      </c>
      <c r="AL52" s="70"/>
      <c r="AM52" s="70"/>
      <c r="AN52" s="70"/>
      <c r="AO52" s="68">
        <f t="shared" si="10"/>
        <v>134357</v>
      </c>
      <c r="AP52" s="60">
        <f t="shared" si="11"/>
        <v>125991</v>
      </c>
      <c r="AQ52" s="60">
        <f t="shared" si="12"/>
        <v>127859</v>
      </c>
      <c r="AR52" s="94">
        <v>134357</v>
      </c>
      <c r="AS52" s="16">
        <v>125991</v>
      </c>
      <c r="AT52" s="16">
        <v>127859</v>
      </c>
      <c r="AU52" s="16"/>
      <c r="AV52" s="16"/>
      <c r="AW52" s="16"/>
      <c r="AX52" s="16"/>
      <c r="AY52" s="16"/>
    </row>
    <row r="53" spans="1:51" s="5" customFormat="1" ht="12.75" customHeight="1" x14ac:dyDescent="0.25">
      <c r="A53" s="85" t="s">
        <v>58</v>
      </c>
      <c r="B53" s="71">
        <v>2800</v>
      </c>
      <c r="C53" s="71">
        <v>2627</v>
      </c>
      <c r="D53" s="98">
        <f>245+189+1545</f>
        <v>1979</v>
      </c>
      <c r="E53" s="71">
        <v>3359</v>
      </c>
      <c r="F53" s="71">
        <v>3359</v>
      </c>
      <c r="G53" s="98">
        <v>3321</v>
      </c>
      <c r="H53" s="71">
        <v>1000</v>
      </c>
      <c r="I53" s="71">
        <v>2356</v>
      </c>
      <c r="J53" s="98">
        <f>42+84+1168</f>
        <v>1294</v>
      </c>
      <c r="K53" s="71">
        <v>325</v>
      </c>
      <c r="L53" s="71">
        <v>325</v>
      </c>
      <c r="M53" s="98">
        <f>39+52+263+1207</f>
        <v>1561</v>
      </c>
      <c r="N53" s="71">
        <v>500</v>
      </c>
      <c r="O53" s="71">
        <v>489</v>
      </c>
      <c r="P53" s="98">
        <f>40+30+158+315</f>
        <v>543</v>
      </c>
      <c r="Q53" s="71">
        <v>530</v>
      </c>
      <c r="R53" s="71">
        <v>256</v>
      </c>
      <c r="S53" s="98">
        <f>20+15+105+391</f>
        <v>531</v>
      </c>
      <c r="T53" s="68">
        <f t="shared" si="7"/>
        <v>1355</v>
      </c>
      <c r="U53" s="72">
        <f t="shared" si="8"/>
        <v>1070</v>
      </c>
      <c r="V53" s="72">
        <f t="shared" si="9"/>
        <v>2635</v>
      </c>
      <c r="W53" s="73">
        <v>1355</v>
      </c>
      <c r="X53" s="73">
        <v>1070</v>
      </c>
      <c r="Y53" s="98">
        <v>2635</v>
      </c>
      <c r="Z53" s="71">
        <v>2000</v>
      </c>
      <c r="AA53" s="71">
        <v>1601</v>
      </c>
      <c r="AB53" s="98">
        <f>52+1459</f>
        <v>1511</v>
      </c>
      <c r="AC53" s="71">
        <v>900</v>
      </c>
      <c r="AD53" s="71">
        <v>898</v>
      </c>
      <c r="AE53" s="98">
        <f>25+914</f>
        <v>939</v>
      </c>
      <c r="AF53" s="71">
        <v>710</v>
      </c>
      <c r="AG53" s="71">
        <v>704</v>
      </c>
      <c r="AH53" s="98">
        <f>42+908</f>
        <v>950</v>
      </c>
      <c r="AI53" s="71">
        <v>275</v>
      </c>
      <c r="AJ53" s="71">
        <v>267</v>
      </c>
      <c r="AK53" s="98">
        <v>275</v>
      </c>
      <c r="AL53" s="70"/>
      <c r="AM53" s="70"/>
      <c r="AN53" s="70"/>
      <c r="AO53" s="68">
        <f t="shared" si="10"/>
        <v>12399</v>
      </c>
      <c r="AP53" s="60">
        <f t="shared" si="11"/>
        <v>12882</v>
      </c>
      <c r="AQ53" s="60">
        <f t="shared" si="12"/>
        <v>12904</v>
      </c>
      <c r="AR53" s="94">
        <v>12399</v>
      </c>
      <c r="AS53" s="4">
        <v>12882</v>
      </c>
      <c r="AT53" s="4">
        <v>12904</v>
      </c>
      <c r="AU53" s="4"/>
      <c r="AV53" s="4"/>
      <c r="AW53" s="4"/>
      <c r="AX53" s="4"/>
      <c r="AY53" s="4"/>
    </row>
    <row r="54" spans="1:51" s="5" customFormat="1" ht="12.75" customHeight="1" x14ac:dyDescent="0.25">
      <c r="A54" s="85" t="s">
        <v>59</v>
      </c>
      <c r="B54" s="71">
        <v>7000</v>
      </c>
      <c r="C54" s="71">
        <v>6937</v>
      </c>
      <c r="D54" s="98">
        <f>11+12+7017</f>
        <v>7040</v>
      </c>
      <c r="E54" s="71">
        <v>5129</v>
      </c>
      <c r="F54" s="71">
        <v>5129</v>
      </c>
      <c r="G54" s="98">
        <v>5299</v>
      </c>
      <c r="H54" s="71">
        <v>5000</v>
      </c>
      <c r="I54" s="71">
        <v>5128</v>
      </c>
      <c r="J54" s="98">
        <f>276+29+95+5289</f>
        <v>5689</v>
      </c>
      <c r="K54" s="71">
        <v>1600</v>
      </c>
      <c r="L54" s="71">
        <v>1531</v>
      </c>
      <c r="M54" s="98">
        <f>2+3+27+28+1518</f>
        <v>1578</v>
      </c>
      <c r="N54" s="71">
        <v>1000</v>
      </c>
      <c r="O54" s="71">
        <f>11+4+2+986</f>
        <v>1003</v>
      </c>
      <c r="P54" s="98">
        <f>2+2+16+17+908</f>
        <v>945</v>
      </c>
      <c r="Q54" s="71">
        <v>600</v>
      </c>
      <c r="R54" s="71">
        <v>594</v>
      </c>
      <c r="S54" s="98">
        <f>1+1+11+11+667</f>
        <v>691</v>
      </c>
      <c r="T54" s="68">
        <f t="shared" si="7"/>
        <v>3200</v>
      </c>
      <c r="U54" s="72">
        <f t="shared" si="8"/>
        <v>3128</v>
      </c>
      <c r="V54" s="72">
        <f t="shared" si="9"/>
        <v>3214</v>
      </c>
      <c r="W54" s="73">
        <v>3200</v>
      </c>
      <c r="X54" s="73">
        <v>3128</v>
      </c>
      <c r="Y54" s="98">
        <v>3214</v>
      </c>
      <c r="Z54" s="71">
        <v>3500</v>
      </c>
      <c r="AA54" s="71">
        <v>3065</v>
      </c>
      <c r="AB54" s="98">
        <f>41+13+2993</f>
        <v>3047</v>
      </c>
      <c r="AC54" s="71">
        <v>2700</v>
      </c>
      <c r="AD54" s="71">
        <v>2706</v>
      </c>
      <c r="AE54" s="98">
        <f>19+5+2701</f>
        <v>2725</v>
      </c>
      <c r="AF54" s="71">
        <v>1750</v>
      </c>
      <c r="AG54" s="71">
        <f>35+7+1660</f>
        <v>1702</v>
      </c>
      <c r="AH54" s="98">
        <f>33+10+1696</f>
        <v>1739</v>
      </c>
      <c r="AI54" s="71">
        <v>1183</v>
      </c>
      <c r="AJ54" s="71">
        <v>1225</v>
      </c>
      <c r="AK54" s="98">
        <v>1183</v>
      </c>
      <c r="AL54" s="70"/>
      <c r="AM54" s="70"/>
      <c r="AN54" s="70"/>
      <c r="AO54" s="68">
        <f t="shared" si="10"/>
        <v>29462</v>
      </c>
      <c r="AP54" s="60">
        <f t="shared" si="11"/>
        <v>29020</v>
      </c>
      <c r="AQ54" s="60">
        <f t="shared" si="12"/>
        <v>29936</v>
      </c>
      <c r="AR54" s="94">
        <v>29462</v>
      </c>
      <c r="AS54" s="4">
        <v>29020</v>
      </c>
      <c r="AT54" s="4">
        <v>29936</v>
      </c>
      <c r="AU54" s="4"/>
      <c r="AV54" s="4"/>
      <c r="AW54" s="4"/>
      <c r="AX54" s="4"/>
      <c r="AY54" s="4"/>
    </row>
    <row r="55" spans="1:51" s="17" customFormat="1" ht="12.75" customHeight="1" x14ac:dyDescent="0.25">
      <c r="A55" s="83" t="s">
        <v>60</v>
      </c>
      <c r="B55" s="71">
        <v>1300</v>
      </c>
      <c r="C55" s="71">
        <v>1295</v>
      </c>
      <c r="D55" s="97">
        <f>75+1363</f>
        <v>1438</v>
      </c>
      <c r="E55" s="71">
        <v>980</v>
      </c>
      <c r="F55" s="71">
        <v>951</v>
      </c>
      <c r="G55" s="97">
        <v>980</v>
      </c>
      <c r="H55" s="71">
        <v>950</v>
      </c>
      <c r="I55" s="71">
        <v>955</v>
      </c>
      <c r="J55" s="97">
        <f>72+1017</f>
        <v>1089</v>
      </c>
      <c r="K55" s="71">
        <v>330</v>
      </c>
      <c r="L55" s="71">
        <v>318</v>
      </c>
      <c r="M55" s="97">
        <f>16+11+301</f>
        <v>328</v>
      </c>
      <c r="N55" s="71">
        <v>200</v>
      </c>
      <c r="O55" s="71">
        <v>208</v>
      </c>
      <c r="P55" s="97">
        <f>12+6+185</f>
        <v>203</v>
      </c>
      <c r="Q55" s="71">
        <v>150</v>
      </c>
      <c r="R55" s="71">
        <v>112</v>
      </c>
      <c r="S55" s="97">
        <f>6+4+133</f>
        <v>143</v>
      </c>
      <c r="T55" s="68">
        <f t="shared" si="7"/>
        <v>680</v>
      </c>
      <c r="U55" s="72">
        <f t="shared" si="8"/>
        <v>638</v>
      </c>
      <c r="V55" s="72">
        <f t="shared" si="9"/>
        <v>674</v>
      </c>
      <c r="W55" s="73">
        <v>680</v>
      </c>
      <c r="X55" s="73">
        <v>638</v>
      </c>
      <c r="Y55" s="97">
        <v>674</v>
      </c>
      <c r="Z55" s="71">
        <v>900</v>
      </c>
      <c r="AA55" s="71">
        <v>619</v>
      </c>
      <c r="AB55" s="97">
        <f>13+652</f>
        <v>665</v>
      </c>
      <c r="AC55" s="71">
        <v>500</v>
      </c>
      <c r="AD55" s="71">
        <v>489</v>
      </c>
      <c r="AE55" s="97">
        <f>6+506</f>
        <v>512</v>
      </c>
      <c r="AF55" s="71">
        <v>320</v>
      </c>
      <c r="AG55" s="71">
        <v>315</v>
      </c>
      <c r="AH55" s="97">
        <f>10+317</f>
        <v>327</v>
      </c>
      <c r="AI55" s="71">
        <v>240</v>
      </c>
      <c r="AJ55" s="71">
        <v>240</v>
      </c>
      <c r="AK55" s="97">
        <v>240</v>
      </c>
      <c r="AL55" s="70"/>
      <c r="AM55" s="70"/>
      <c r="AN55" s="70"/>
      <c r="AO55" s="68">
        <f t="shared" si="10"/>
        <v>5870</v>
      </c>
      <c r="AP55" s="60">
        <f t="shared" si="11"/>
        <v>5502</v>
      </c>
      <c r="AQ55" s="60">
        <f t="shared" si="12"/>
        <v>5925</v>
      </c>
      <c r="AR55" s="94">
        <v>5870</v>
      </c>
      <c r="AS55" s="16">
        <v>5502</v>
      </c>
      <c r="AT55" s="16">
        <v>5925</v>
      </c>
      <c r="AU55" s="16"/>
      <c r="AV55" s="16"/>
      <c r="AW55" s="16"/>
      <c r="AX55" s="16"/>
      <c r="AY55" s="16"/>
    </row>
    <row r="56" spans="1:51" s="17" customFormat="1" ht="12.75" customHeight="1" x14ac:dyDescent="0.25">
      <c r="A56" s="83" t="s">
        <v>61</v>
      </c>
      <c r="B56" s="71">
        <v>12000</v>
      </c>
      <c r="C56" s="71">
        <v>11634</v>
      </c>
      <c r="D56" s="97">
        <f>66+400+6092</f>
        <v>6558</v>
      </c>
      <c r="E56" s="17">
        <v>5500</v>
      </c>
      <c r="F56" s="71">
        <v>5524</v>
      </c>
      <c r="G56" s="97">
        <f>11+3341</f>
        <v>3352</v>
      </c>
      <c r="H56" s="71">
        <v>2299</v>
      </c>
      <c r="I56" s="71">
        <v>3896</v>
      </c>
      <c r="J56" s="97">
        <f>342+1957</f>
        <v>2299</v>
      </c>
      <c r="K56" s="71">
        <v>2000</v>
      </c>
      <c r="L56" s="71">
        <v>2205</v>
      </c>
      <c r="M56" s="97">
        <f>14+84+161+1666</f>
        <v>1925</v>
      </c>
      <c r="N56" s="71">
        <v>900</v>
      </c>
      <c r="O56" s="71">
        <v>1071</v>
      </c>
      <c r="P56" s="97">
        <f>11+64+58+39+727</f>
        <v>899</v>
      </c>
      <c r="Q56" s="71">
        <v>170</v>
      </c>
      <c r="R56" s="71">
        <v>353</v>
      </c>
      <c r="S56" s="97">
        <f>5+33+39+26+65</f>
        <v>168</v>
      </c>
      <c r="T56" s="68">
        <f t="shared" si="7"/>
        <v>3070</v>
      </c>
      <c r="U56" s="72">
        <f>L56+O56+R56</f>
        <v>3629</v>
      </c>
      <c r="V56" s="72">
        <f t="shared" si="9"/>
        <v>2992</v>
      </c>
      <c r="W56" s="73">
        <v>3070</v>
      </c>
      <c r="X56" s="73">
        <v>3629</v>
      </c>
      <c r="Y56" s="97">
        <v>2992</v>
      </c>
      <c r="Z56" s="71">
        <v>3300</v>
      </c>
      <c r="AA56" s="71">
        <f>-36+3382</f>
        <v>3346</v>
      </c>
      <c r="AB56" s="97">
        <f>314+22+2045</f>
        <v>2381</v>
      </c>
      <c r="AC56" s="71">
        <v>2500</v>
      </c>
      <c r="AD56" s="71">
        <v>2396</v>
      </c>
      <c r="AE56" s="97">
        <f>150+11+1680</f>
        <v>1841</v>
      </c>
      <c r="AF56" s="71">
        <v>2500</v>
      </c>
      <c r="AG56" s="71">
        <f>1652+322+485</f>
        <v>2459</v>
      </c>
      <c r="AH56" s="97">
        <f>252+18+929</f>
        <v>1199</v>
      </c>
      <c r="AI56" s="71">
        <v>1291</v>
      </c>
      <c r="AJ56" s="71">
        <v>924</v>
      </c>
      <c r="AK56" s="97">
        <f>1+1290</f>
        <v>1291</v>
      </c>
      <c r="AL56" s="70"/>
      <c r="AM56" s="70"/>
      <c r="AN56" s="70"/>
      <c r="AO56" s="68">
        <f t="shared" si="10"/>
        <v>32460</v>
      </c>
      <c r="AP56" s="60">
        <f t="shared" si="11"/>
        <v>33808</v>
      </c>
      <c r="AQ56" s="60">
        <f t="shared" si="12"/>
        <v>21913</v>
      </c>
      <c r="AR56" s="94">
        <v>32460</v>
      </c>
      <c r="AS56" s="16">
        <v>33808</v>
      </c>
      <c r="AT56" s="16">
        <v>21913</v>
      </c>
      <c r="AU56" s="16"/>
      <c r="AV56" s="16"/>
      <c r="AW56" s="16"/>
      <c r="AX56" s="16"/>
      <c r="AY56" s="16"/>
    </row>
    <row r="57" spans="1:51" s="30" customFormat="1" ht="12.75" customHeight="1" x14ac:dyDescent="0.2">
      <c r="A57" s="87" t="s">
        <v>33</v>
      </c>
      <c r="B57" s="70">
        <f t="shared" ref="B57:AL57" si="13">SUM(B29:B56)</f>
        <v>523338</v>
      </c>
      <c r="C57" s="70">
        <f t="shared" si="13"/>
        <v>520198</v>
      </c>
      <c r="D57" s="99">
        <f t="shared" si="13"/>
        <v>480755</v>
      </c>
      <c r="E57" s="70">
        <f t="shared" si="13"/>
        <v>384678</v>
      </c>
      <c r="F57" s="70">
        <f t="shared" si="13"/>
        <v>389012</v>
      </c>
      <c r="G57" s="99">
        <f t="shared" si="13"/>
        <v>369183</v>
      </c>
      <c r="H57" s="70">
        <f t="shared" si="13"/>
        <v>246571</v>
      </c>
      <c r="I57" s="70">
        <f t="shared" si="13"/>
        <v>249108</v>
      </c>
      <c r="J57" s="99">
        <f t="shared" si="13"/>
        <v>245913</v>
      </c>
      <c r="K57" s="70">
        <f t="shared" si="13"/>
        <v>126157</v>
      </c>
      <c r="L57" s="70">
        <f t="shared" si="13"/>
        <v>125869</v>
      </c>
      <c r="M57" s="99">
        <f t="shared" si="13"/>
        <v>120989</v>
      </c>
      <c r="N57" s="70">
        <f>SUM(N29:N56)</f>
        <v>80637</v>
      </c>
      <c r="O57" s="70">
        <f t="shared" si="13"/>
        <v>81971</v>
      </c>
      <c r="P57" s="99">
        <f t="shared" si="13"/>
        <v>88610</v>
      </c>
      <c r="Q57" s="70">
        <f t="shared" si="13"/>
        <v>36592</v>
      </c>
      <c r="R57" s="70">
        <f t="shared" si="13"/>
        <v>37931</v>
      </c>
      <c r="S57" s="99">
        <f t="shared" si="13"/>
        <v>37563</v>
      </c>
      <c r="T57" s="70">
        <f t="shared" si="13"/>
        <v>243386</v>
      </c>
      <c r="U57" s="70">
        <f t="shared" si="13"/>
        <v>245771</v>
      </c>
      <c r="V57" s="70">
        <f t="shared" si="13"/>
        <v>247162</v>
      </c>
      <c r="W57" s="70">
        <f t="shared" si="13"/>
        <v>243386</v>
      </c>
      <c r="X57" s="70">
        <f t="shared" si="13"/>
        <v>245771</v>
      </c>
      <c r="Y57" s="99">
        <f t="shared" si="13"/>
        <v>247162</v>
      </c>
      <c r="Z57" s="70">
        <f t="shared" si="13"/>
        <v>182275</v>
      </c>
      <c r="AA57" s="70">
        <f t="shared" si="13"/>
        <v>203433</v>
      </c>
      <c r="AB57" s="99">
        <f t="shared" si="13"/>
        <v>191744</v>
      </c>
      <c r="AC57" s="70">
        <f t="shared" si="13"/>
        <v>117620</v>
      </c>
      <c r="AD57" s="70">
        <f t="shared" si="13"/>
        <v>112979</v>
      </c>
      <c r="AE57" s="99">
        <f t="shared" si="13"/>
        <v>104038</v>
      </c>
      <c r="AF57" s="70">
        <f t="shared" si="13"/>
        <v>101640</v>
      </c>
      <c r="AG57" s="70">
        <f t="shared" si="13"/>
        <v>103488</v>
      </c>
      <c r="AH57" s="99">
        <f t="shared" si="13"/>
        <v>95360</v>
      </c>
      <c r="AI57" s="70">
        <f t="shared" si="13"/>
        <v>59457</v>
      </c>
      <c r="AJ57" s="70">
        <f t="shared" si="13"/>
        <v>58486</v>
      </c>
      <c r="AK57" s="99">
        <f t="shared" si="13"/>
        <v>58846</v>
      </c>
      <c r="AL57" s="70">
        <f t="shared" si="13"/>
        <v>0</v>
      </c>
      <c r="AM57" s="70"/>
      <c r="AN57" s="70"/>
      <c r="AO57" s="68">
        <f t="shared" si="10"/>
        <v>1858965</v>
      </c>
      <c r="AP57" s="60">
        <f t="shared" si="11"/>
        <v>1882475</v>
      </c>
      <c r="AQ57" s="60">
        <f t="shared" si="12"/>
        <v>1793001</v>
      </c>
      <c r="AR57" s="29">
        <f>SUM(AR29:AR56)</f>
        <v>1858965</v>
      </c>
      <c r="AS57" s="29">
        <f>SUM(AS29:AS56)</f>
        <v>1882475</v>
      </c>
      <c r="AT57" s="29">
        <f>SUM(AT29:AT56)</f>
        <v>1793001</v>
      </c>
      <c r="AU57" s="29"/>
      <c r="AV57" s="29"/>
      <c r="AW57" s="29"/>
      <c r="AX57" s="29"/>
      <c r="AY57" s="29"/>
    </row>
    <row r="58" spans="1:51" s="34" customFormat="1" ht="12.75" customHeight="1" x14ac:dyDescent="0.25">
      <c r="A58" s="83" t="s">
        <v>62</v>
      </c>
      <c r="B58" s="71">
        <v>36810</v>
      </c>
      <c r="C58" s="71">
        <v>36810</v>
      </c>
      <c r="D58" s="98">
        <v>36810</v>
      </c>
      <c r="E58" s="71">
        <v>26305</v>
      </c>
      <c r="F58" s="71">
        <v>26305</v>
      </c>
      <c r="G58" s="98">
        <v>26300</v>
      </c>
      <c r="H58" s="71">
        <v>19725</v>
      </c>
      <c r="I58" s="71">
        <v>19727</v>
      </c>
      <c r="J58" s="98">
        <v>19725</v>
      </c>
      <c r="K58" s="71">
        <v>10900</v>
      </c>
      <c r="L58" s="71">
        <v>10825</v>
      </c>
      <c r="M58" s="98">
        <v>10825</v>
      </c>
      <c r="N58" s="71">
        <v>5300</v>
      </c>
      <c r="O58" s="71">
        <v>5363</v>
      </c>
      <c r="P58" s="98">
        <v>5363</v>
      </c>
      <c r="Q58" s="71">
        <v>4800</v>
      </c>
      <c r="R58" s="71">
        <v>4788</v>
      </c>
      <c r="S58" s="98">
        <v>4788</v>
      </c>
      <c r="T58" s="68">
        <f t="shared" ref="T58:V61" si="14">K58+N58+Q58</f>
        <v>21000</v>
      </c>
      <c r="U58" s="72">
        <f>L58+O58+R58</f>
        <v>20976</v>
      </c>
      <c r="V58" s="72">
        <f t="shared" si="14"/>
        <v>20976</v>
      </c>
      <c r="W58" s="73">
        <v>21000</v>
      </c>
      <c r="X58" s="73">
        <v>20976</v>
      </c>
      <c r="Y58" s="98">
        <v>20976</v>
      </c>
      <c r="Z58" s="71">
        <v>22013</v>
      </c>
      <c r="AA58" s="71">
        <v>21058</v>
      </c>
      <c r="AB58" s="98">
        <v>22013</v>
      </c>
      <c r="AC58" s="71">
        <v>10949</v>
      </c>
      <c r="AD58" s="71">
        <v>10949</v>
      </c>
      <c r="AE58" s="98">
        <v>10949</v>
      </c>
      <c r="AF58" s="71">
        <v>14600</v>
      </c>
      <c r="AG58" s="71">
        <v>14571</v>
      </c>
      <c r="AH58" s="98">
        <v>13875</v>
      </c>
      <c r="AI58" s="71">
        <v>7958</v>
      </c>
      <c r="AJ58" s="71">
        <v>7959</v>
      </c>
      <c r="AK58" s="98">
        <v>7958</v>
      </c>
      <c r="AL58" s="70"/>
      <c r="AM58" s="70"/>
      <c r="AN58" s="70"/>
      <c r="AO58" s="68">
        <f t="shared" si="10"/>
        <v>159360</v>
      </c>
      <c r="AP58" s="60">
        <f t="shared" si="11"/>
        <v>158355</v>
      </c>
      <c r="AQ58" s="60">
        <f t="shared" si="12"/>
        <v>158606</v>
      </c>
      <c r="AR58" s="94">
        <v>159360</v>
      </c>
      <c r="AS58" s="4">
        <v>158355</v>
      </c>
      <c r="AT58" s="4">
        <v>158606</v>
      </c>
      <c r="AU58" s="4"/>
      <c r="AV58" s="4"/>
      <c r="AW58" s="4"/>
      <c r="AX58" s="4"/>
      <c r="AY58" s="4"/>
    </row>
    <row r="59" spans="1:51" s="5" customFormat="1" ht="12.75" customHeight="1" x14ac:dyDescent="0.25">
      <c r="A59" s="83" t="s">
        <v>63</v>
      </c>
      <c r="B59" s="71">
        <v>6883</v>
      </c>
      <c r="C59" s="71">
        <v>6501</v>
      </c>
      <c r="D59" s="98">
        <v>6883</v>
      </c>
      <c r="E59" s="71">
        <v>7300</v>
      </c>
      <c r="F59" s="71">
        <v>7297</v>
      </c>
      <c r="G59" s="98">
        <v>7420</v>
      </c>
      <c r="H59" s="71">
        <v>3330</v>
      </c>
      <c r="I59" s="71">
        <v>3281</v>
      </c>
      <c r="J59" s="98">
        <v>3330</v>
      </c>
      <c r="K59" s="71">
        <v>1100</v>
      </c>
      <c r="L59" s="71">
        <v>1004</v>
      </c>
      <c r="M59" s="98">
        <v>1105</v>
      </c>
      <c r="N59" s="71">
        <v>650</v>
      </c>
      <c r="O59" s="71">
        <v>584</v>
      </c>
      <c r="P59" s="98">
        <v>649</v>
      </c>
      <c r="Q59" s="71">
        <v>360</v>
      </c>
      <c r="R59" s="71">
        <v>341</v>
      </c>
      <c r="S59" s="98">
        <v>364</v>
      </c>
      <c r="T59" s="68">
        <f t="shared" si="14"/>
        <v>2110</v>
      </c>
      <c r="U59" s="72">
        <f>L59+O59+R59</f>
        <v>1929</v>
      </c>
      <c r="V59" s="72">
        <f t="shared" si="14"/>
        <v>2118</v>
      </c>
      <c r="W59" s="73">
        <v>2110</v>
      </c>
      <c r="X59" s="73">
        <v>1929</v>
      </c>
      <c r="Y59" s="98">
        <v>2118</v>
      </c>
      <c r="Z59" s="71">
        <v>2370</v>
      </c>
      <c r="AA59" s="71">
        <v>2213</v>
      </c>
      <c r="AB59" s="98">
        <v>2370</v>
      </c>
      <c r="AC59" s="71">
        <v>1400</v>
      </c>
      <c r="AD59" s="71">
        <v>1359</v>
      </c>
      <c r="AE59" s="98">
        <v>1409</v>
      </c>
      <c r="AF59" s="71">
        <v>1350</v>
      </c>
      <c r="AG59" s="71">
        <v>1315</v>
      </c>
      <c r="AH59" s="98">
        <v>1321</v>
      </c>
      <c r="AI59" s="71">
        <v>610</v>
      </c>
      <c r="AJ59" s="71">
        <v>608</v>
      </c>
      <c r="AK59" s="98">
        <v>610</v>
      </c>
      <c r="AL59" s="70"/>
      <c r="AM59" s="70"/>
      <c r="AN59" s="70"/>
      <c r="AO59" s="68">
        <f t="shared" si="10"/>
        <v>25353</v>
      </c>
      <c r="AP59" s="60">
        <f t="shared" si="11"/>
        <v>24503</v>
      </c>
      <c r="AQ59" s="60">
        <f t="shared" si="12"/>
        <v>25461</v>
      </c>
      <c r="AR59" s="94">
        <v>25353</v>
      </c>
      <c r="AS59" s="4">
        <v>24503</v>
      </c>
      <c r="AT59" s="4">
        <v>25461</v>
      </c>
      <c r="AU59" s="4"/>
      <c r="AV59" s="4"/>
      <c r="AW59" s="4"/>
      <c r="AX59" s="4"/>
      <c r="AY59" s="4"/>
    </row>
    <row r="60" spans="1:51" s="5" customFormat="1" ht="12.75" customHeight="1" x14ac:dyDescent="0.25">
      <c r="A60" s="83" t="s">
        <v>104</v>
      </c>
      <c r="B60" s="71">
        <v>9100</v>
      </c>
      <c r="C60" s="71">
        <f>18+26+247+9201</f>
        <v>9492</v>
      </c>
      <c r="D60" s="98">
        <f>31+9106</f>
        <v>9137</v>
      </c>
      <c r="E60" s="71">
        <v>7600</v>
      </c>
      <c r="F60" s="71">
        <f>22+34+79+7589</f>
        <v>7724</v>
      </c>
      <c r="G60" s="98">
        <f>-121+7691</f>
        <v>7570</v>
      </c>
      <c r="H60" s="71">
        <v>5783</v>
      </c>
      <c r="I60" s="71">
        <f>10-267+5789</f>
        <v>5532</v>
      </c>
      <c r="J60" s="98">
        <f>-675+28+6430</f>
        <v>5783</v>
      </c>
      <c r="K60" s="71">
        <v>1600</v>
      </c>
      <c r="L60" s="71">
        <f>4+5+82+1693</f>
        <v>1784</v>
      </c>
      <c r="M60" s="98">
        <v>1621</v>
      </c>
      <c r="N60" s="71">
        <v>920</v>
      </c>
      <c r="O60" s="71">
        <f>3+140+4+901</f>
        <v>1048</v>
      </c>
      <c r="P60" s="98">
        <f>-4+923</f>
        <v>919</v>
      </c>
      <c r="Q60" s="71">
        <v>580</v>
      </c>
      <c r="R60" s="71">
        <f>1+2-62+555</f>
        <v>496</v>
      </c>
      <c r="S60" s="98">
        <f>-16+598</f>
        <v>582</v>
      </c>
      <c r="T60" s="68">
        <f t="shared" si="14"/>
        <v>3100</v>
      </c>
      <c r="U60" s="72">
        <f>L60+O60+R60</f>
        <v>3328</v>
      </c>
      <c r="V60" s="72">
        <f t="shared" si="14"/>
        <v>3122</v>
      </c>
      <c r="W60" s="73">
        <v>3100</v>
      </c>
      <c r="X60" s="73">
        <v>3328</v>
      </c>
      <c r="Y60" s="98">
        <v>3122</v>
      </c>
      <c r="Z60" s="71">
        <v>2689</v>
      </c>
      <c r="AA60" s="71">
        <f>6+25+6+2729</f>
        <v>2766</v>
      </c>
      <c r="AB60" s="98">
        <f>25+2664</f>
        <v>2689</v>
      </c>
      <c r="AC60" s="71">
        <v>2600</v>
      </c>
      <c r="AD60" s="71">
        <f>3+12+82+2574</f>
        <v>2671</v>
      </c>
      <c r="AE60" s="98">
        <f>29-141+2705</f>
        <v>2593</v>
      </c>
      <c r="AF60" s="71">
        <v>1900</v>
      </c>
      <c r="AG60" s="71">
        <f>5+77+20+1734</f>
        <v>1836</v>
      </c>
      <c r="AH60" s="98">
        <f>-661+2372</f>
        <v>1711</v>
      </c>
      <c r="AI60" s="71">
        <v>1235</v>
      </c>
      <c r="AJ60" s="71">
        <f>3+4-100+1272</f>
        <v>1179</v>
      </c>
      <c r="AK60" s="98">
        <f>-35+1270</f>
        <v>1235</v>
      </c>
      <c r="AL60" s="70"/>
      <c r="AM60" s="70"/>
      <c r="AN60" s="70"/>
      <c r="AO60" s="68">
        <f t="shared" si="10"/>
        <v>34007</v>
      </c>
      <c r="AP60" s="60">
        <f t="shared" si="11"/>
        <v>34528</v>
      </c>
      <c r="AQ60" s="60">
        <f t="shared" si="12"/>
        <v>33840</v>
      </c>
      <c r="AR60" s="94">
        <v>34007</v>
      </c>
      <c r="AS60" s="4">
        <v>34528</v>
      </c>
      <c r="AT60" s="4">
        <v>33840</v>
      </c>
      <c r="AU60" s="4"/>
      <c r="AV60" s="4"/>
      <c r="AW60" s="4"/>
      <c r="AX60" s="4"/>
      <c r="AY60" s="4"/>
    </row>
    <row r="61" spans="1:51" s="5" customFormat="1" ht="12.75" customHeight="1" x14ac:dyDescent="0.25">
      <c r="A61" s="83" t="s">
        <v>105</v>
      </c>
      <c r="B61" s="71">
        <v>1300</v>
      </c>
      <c r="C61" s="71">
        <v>1333</v>
      </c>
      <c r="D61" s="98">
        <v>1297</v>
      </c>
      <c r="E61" s="71">
        <v>1120</v>
      </c>
      <c r="F61" s="71">
        <v>1124</v>
      </c>
      <c r="G61" s="98">
        <v>1112</v>
      </c>
      <c r="H61" s="71">
        <v>851</v>
      </c>
      <c r="I61" s="71">
        <v>811</v>
      </c>
      <c r="J61" s="98">
        <v>851</v>
      </c>
      <c r="K61" s="71">
        <v>240</v>
      </c>
      <c r="L61" s="71">
        <v>251</v>
      </c>
      <c r="M61" s="98">
        <v>239</v>
      </c>
      <c r="N61" s="71">
        <v>135</v>
      </c>
      <c r="O61" s="71">
        <v>156</v>
      </c>
      <c r="P61" s="98">
        <v>135</v>
      </c>
      <c r="Q61" s="71">
        <v>90</v>
      </c>
      <c r="R61" s="71">
        <v>74</v>
      </c>
      <c r="S61" s="98">
        <v>83</v>
      </c>
      <c r="T61" s="68">
        <f t="shared" si="14"/>
        <v>465</v>
      </c>
      <c r="U61" s="72">
        <f>L61+O61+R61</f>
        <v>481</v>
      </c>
      <c r="V61" s="72">
        <f t="shared" si="14"/>
        <v>457</v>
      </c>
      <c r="W61" s="73">
        <v>465</v>
      </c>
      <c r="X61" s="73">
        <v>481</v>
      </c>
      <c r="Y61" s="98">
        <v>457</v>
      </c>
      <c r="Z61" s="71">
        <v>550</v>
      </c>
      <c r="AA61" s="71">
        <f>32+504</f>
        <v>536</v>
      </c>
      <c r="AB61" s="98">
        <f>32+504</f>
        <v>536</v>
      </c>
      <c r="AC61" s="71">
        <v>380</v>
      </c>
      <c r="AD61" s="71">
        <v>387</v>
      </c>
      <c r="AE61" s="98">
        <v>375</v>
      </c>
      <c r="AF61" s="71">
        <v>300</v>
      </c>
      <c r="AG61" s="71">
        <v>290</v>
      </c>
      <c r="AH61" s="98">
        <v>277</v>
      </c>
      <c r="AI61" s="71">
        <v>182</v>
      </c>
      <c r="AJ61" s="71">
        <v>169</v>
      </c>
      <c r="AK61" s="98">
        <v>182</v>
      </c>
      <c r="AL61" s="70"/>
      <c r="AM61" s="70"/>
      <c r="AN61" s="70"/>
      <c r="AO61" s="68">
        <f t="shared" si="10"/>
        <v>5148</v>
      </c>
      <c r="AP61" s="60">
        <f t="shared" si="11"/>
        <v>5131</v>
      </c>
      <c r="AQ61" s="60">
        <f t="shared" si="12"/>
        <v>5087</v>
      </c>
      <c r="AR61" s="94">
        <v>5148</v>
      </c>
      <c r="AS61" s="4">
        <v>5131</v>
      </c>
      <c r="AT61" s="4">
        <v>5087</v>
      </c>
      <c r="AU61" s="4"/>
      <c r="AV61" s="4"/>
      <c r="AW61" s="4"/>
      <c r="AX61" s="4"/>
      <c r="AY61" s="4"/>
    </row>
    <row r="62" spans="1:51" s="30" customFormat="1" ht="12.75" customHeight="1" x14ac:dyDescent="0.2">
      <c r="A62" s="87" t="s">
        <v>64</v>
      </c>
      <c r="B62" s="70">
        <f t="shared" ref="B62:AJ62" si="15">SUM(B57:B61)</f>
        <v>577431</v>
      </c>
      <c r="C62" s="70">
        <f t="shared" si="15"/>
        <v>574334</v>
      </c>
      <c r="D62" s="99">
        <f>SUM(D57:D61)</f>
        <v>534882</v>
      </c>
      <c r="E62" s="70">
        <f t="shared" si="15"/>
        <v>427003</v>
      </c>
      <c r="F62" s="70">
        <f t="shared" si="15"/>
        <v>431462</v>
      </c>
      <c r="G62" s="99">
        <f>SUM(G57:G61)</f>
        <v>411585</v>
      </c>
      <c r="H62" s="70">
        <f t="shared" si="15"/>
        <v>276260</v>
      </c>
      <c r="I62" s="70">
        <f t="shared" si="15"/>
        <v>278459</v>
      </c>
      <c r="J62" s="99">
        <f>SUM(J57:J61)</f>
        <v>275602</v>
      </c>
      <c r="K62" s="70">
        <f t="shared" si="15"/>
        <v>139997</v>
      </c>
      <c r="L62" s="70">
        <f t="shared" si="15"/>
        <v>139733</v>
      </c>
      <c r="M62" s="99">
        <f>SUM(M57:M61)</f>
        <v>134779</v>
      </c>
      <c r="N62" s="70">
        <f t="shared" si="15"/>
        <v>87642</v>
      </c>
      <c r="O62" s="70">
        <f t="shared" si="15"/>
        <v>89122</v>
      </c>
      <c r="P62" s="99">
        <f>SUM(P57:P61)</f>
        <v>95676</v>
      </c>
      <c r="Q62" s="70">
        <f t="shared" si="15"/>
        <v>42422</v>
      </c>
      <c r="R62" s="70">
        <f t="shared" si="15"/>
        <v>43630</v>
      </c>
      <c r="S62" s="99">
        <f>SUM(S57:S61)</f>
        <v>43380</v>
      </c>
      <c r="T62" s="70">
        <f t="shared" si="15"/>
        <v>270061</v>
      </c>
      <c r="U62" s="70">
        <f t="shared" si="15"/>
        <v>272485</v>
      </c>
      <c r="V62" s="70">
        <f t="shared" si="15"/>
        <v>273835</v>
      </c>
      <c r="W62" s="70">
        <f t="shared" si="15"/>
        <v>270061</v>
      </c>
      <c r="X62" s="70">
        <f t="shared" si="15"/>
        <v>272485</v>
      </c>
      <c r="Y62" s="99">
        <f>SUM(Y57:Y61)</f>
        <v>273835</v>
      </c>
      <c r="Z62" s="70">
        <f t="shared" si="15"/>
        <v>209897</v>
      </c>
      <c r="AA62" s="70">
        <f t="shared" si="15"/>
        <v>230006</v>
      </c>
      <c r="AB62" s="99">
        <f>SUM(AB57:AB61)</f>
        <v>219352</v>
      </c>
      <c r="AC62" s="70">
        <f t="shared" si="15"/>
        <v>132949</v>
      </c>
      <c r="AD62" s="70">
        <f t="shared" si="15"/>
        <v>128345</v>
      </c>
      <c r="AE62" s="99">
        <f>SUM(AE57:AE61)</f>
        <v>119364</v>
      </c>
      <c r="AF62" s="70">
        <f t="shared" si="15"/>
        <v>119790</v>
      </c>
      <c r="AG62" s="70">
        <f t="shared" si="15"/>
        <v>121500</v>
      </c>
      <c r="AH62" s="99">
        <f>SUM(AH57:AH61)</f>
        <v>112544</v>
      </c>
      <c r="AI62" s="70">
        <f t="shared" si="15"/>
        <v>69442</v>
      </c>
      <c r="AJ62" s="70">
        <f t="shared" si="15"/>
        <v>68401</v>
      </c>
      <c r="AK62" s="99">
        <f>SUM(AK57:AK61)</f>
        <v>68831</v>
      </c>
      <c r="AL62" s="70"/>
      <c r="AM62" s="70"/>
      <c r="AN62" s="70"/>
      <c r="AO62" s="68">
        <f t="shared" si="10"/>
        <v>2082833</v>
      </c>
      <c r="AP62" s="60">
        <f t="shared" si="11"/>
        <v>2104992</v>
      </c>
      <c r="AQ62" s="60">
        <f t="shared" si="12"/>
        <v>2015995</v>
      </c>
      <c r="AR62" s="29">
        <f>SUM(AR57:AR61)</f>
        <v>2082833</v>
      </c>
      <c r="AS62" s="29">
        <f>AS57+AS58+AS59+AS60+AS61</f>
        <v>2104992</v>
      </c>
      <c r="AT62" s="29">
        <f>SUM(AT57:AT61)</f>
        <v>2015995</v>
      </c>
      <c r="AU62" s="29"/>
      <c r="AV62" s="29"/>
      <c r="AW62" s="29"/>
      <c r="AX62" s="29"/>
      <c r="AY62" s="29"/>
    </row>
    <row r="63" spans="1:51" s="5" customFormat="1" ht="12.75" customHeight="1" x14ac:dyDescent="0.25">
      <c r="A63" s="83" t="s">
        <v>65</v>
      </c>
      <c r="B63" s="91">
        <f>B22+B23</f>
        <v>675895</v>
      </c>
      <c r="C63" s="70">
        <f t="shared" ref="C63:AR63" si="16">C22+C23</f>
        <v>680630</v>
      </c>
      <c r="D63" s="100">
        <f t="shared" si="16"/>
        <v>753760</v>
      </c>
      <c r="E63" s="70">
        <f t="shared" si="16"/>
        <v>495400</v>
      </c>
      <c r="F63" s="70">
        <f t="shared" si="16"/>
        <v>510136</v>
      </c>
      <c r="G63" s="100">
        <f t="shared" si="16"/>
        <v>491667</v>
      </c>
      <c r="H63" s="70">
        <f t="shared" si="16"/>
        <v>282488</v>
      </c>
      <c r="I63" s="70">
        <f t="shared" si="16"/>
        <v>287012</v>
      </c>
      <c r="J63" s="100">
        <f t="shared" si="16"/>
        <v>281703</v>
      </c>
      <c r="K63" s="70">
        <f t="shared" si="16"/>
        <v>119415</v>
      </c>
      <c r="L63" s="70">
        <f t="shared" si="16"/>
        <v>127801</v>
      </c>
      <c r="M63" s="100">
        <f t="shared" si="16"/>
        <v>121669</v>
      </c>
      <c r="N63" s="70">
        <f t="shared" si="16"/>
        <v>87303</v>
      </c>
      <c r="O63" s="70">
        <f>O22+O23</f>
        <v>88109</v>
      </c>
      <c r="P63" s="100">
        <f t="shared" si="16"/>
        <v>92788</v>
      </c>
      <c r="Q63" s="70">
        <f t="shared" si="16"/>
        <v>57178</v>
      </c>
      <c r="R63" s="70">
        <f t="shared" si="16"/>
        <v>59289</v>
      </c>
      <c r="S63" s="100">
        <f t="shared" si="16"/>
        <v>54942</v>
      </c>
      <c r="T63" s="70">
        <f t="shared" si="16"/>
        <v>263896</v>
      </c>
      <c r="U63" s="70">
        <f t="shared" si="16"/>
        <v>275199</v>
      </c>
      <c r="V63" s="70">
        <f t="shared" si="16"/>
        <v>269399</v>
      </c>
      <c r="W63" s="70">
        <f t="shared" si="16"/>
        <v>263896</v>
      </c>
      <c r="X63" s="70">
        <f t="shared" si="16"/>
        <v>275199</v>
      </c>
      <c r="Y63" s="100">
        <f t="shared" si="16"/>
        <v>269399</v>
      </c>
      <c r="Z63" s="70">
        <f t="shared" si="16"/>
        <v>216200</v>
      </c>
      <c r="AA63" s="70">
        <f t="shared" si="16"/>
        <v>236421</v>
      </c>
      <c r="AB63" s="100">
        <f t="shared" si="16"/>
        <v>230747</v>
      </c>
      <c r="AC63" s="70">
        <f t="shared" si="16"/>
        <v>118440</v>
      </c>
      <c r="AD63" s="70">
        <f t="shared" si="16"/>
        <v>118453</v>
      </c>
      <c r="AE63" s="100">
        <f t="shared" si="16"/>
        <v>120864</v>
      </c>
      <c r="AF63" s="70">
        <f t="shared" si="16"/>
        <v>121140</v>
      </c>
      <c r="AG63" s="70">
        <f t="shared" si="16"/>
        <v>117472</v>
      </c>
      <c r="AH63" s="100">
        <f t="shared" si="16"/>
        <v>111523</v>
      </c>
      <c r="AI63" s="70">
        <f t="shared" si="16"/>
        <v>75704</v>
      </c>
      <c r="AJ63" s="70">
        <f t="shared" si="16"/>
        <v>77053</v>
      </c>
      <c r="AK63" s="100">
        <f t="shared" si="16"/>
        <v>65086</v>
      </c>
      <c r="AL63" s="70">
        <f t="shared" si="16"/>
        <v>0</v>
      </c>
      <c r="AM63" s="70">
        <f t="shared" si="16"/>
        <v>0</v>
      </c>
      <c r="AN63" s="70">
        <f t="shared" si="16"/>
        <v>0</v>
      </c>
      <c r="AO63" s="70">
        <f t="shared" si="16"/>
        <v>2249163</v>
      </c>
      <c r="AP63" s="88">
        <f t="shared" si="16"/>
        <v>2302376</v>
      </c>
      <c r="AQ63" s="88">
        <f t="shared" si="16"/>
        <v>2324749</v>
      </c>
      <c r="AR63" s="3">
        <f t="shared" si="16"/>
        <v>2249163</v>
      </c>
      <c r="AS63" s="3">
        <v>2302376</v>
      </c>
      <c r="AT63" s="3">
        <f>AT22+AT23</f>
        <v>2324749</v>
      </c>
      <c r="AU63" s="4"/>
      <c r="AV63" s="4"/>
      <c r="AW63" s="4"/>
      <c r="AX63" s="4"/>
      <c r="AY63" s="4"/>
    </row>
    <row r="64" spans="1:51" s="5" customFormat="1" ht="12.75" customHeight="1" x14ac:dyDescent="0.25">
      <c r="A64" s="83" t="s">
        <v>66</v>
      </c>
      <c r="B64" s="70">
        <f t="shared" ref="B64:AJ64" si="17">B63-B62</f>
        <v>98464</v>
      </c>
      <c r="C64" s="70">
        <f t="shared" si="17"/>
        <v>106296</v>
      </c>
      <c r="D64" s="100">
        <f>D63-D62</f>
        <v>218878</v>
      </c>
      <c r="E64" s="70">
        <f t="shared" si="17"/>
        <v>68397</v>
      </c>
      <c r="F64" s="70">
        <f t="shared" si="17"/>
        <v>78674</v>
      </c>
      <c r="G64" s="100">
        <f>G63-G62</f>
        <v>80082</v>
      </c>
      <c r="H64" s="70">
        <f t="shared" si="17"/>
        <v>6228</v>
      </c>
      <c r="I64" s="70">
        <f t="shared" si="17"/>
        <v>8553</v>
      </c>
      <c r="J64" s="100">
        <f>J63-J62</f>
        <v>6101</v>
      </c>
      <c r="K64" s="70">
        <f t="shared" si="17"/>
        <v>-20582</v>
      </c>
      <c r="L64" s="70">
        <f t="shared" si="17"/>
        <v>-11932</v>
      </c>
      <c r="M64" s="100">
        <f>M63-M62</f>
        <v>-13110</v>
      </c>
      <c r="N64" s="70">
        <f t="shared" si="17"/>
        <v>-339</v>
      </c>
      <c r="O64" s="70">
        <f t="shared" si="17"/>
        <v>-1013</v>
      </c>
      <c r="P64" s="100">
        <f>P63-P62</f>
        <v>-2888</v>
      </c>
      <c r="Q64" s="70">
        <f t="shared" si="17"/>
        <v>14756</v>
      </c>
      <c r="R64" s="70">
        <f t="shared" si="17"/>
        <v>15659</v>
      </c>
      <c r="S64" s="100">
        <f>S63-S62</f>
        <v>11562</v>
      </c>
      <c r="T64" s="70">
        <f t="shared" si="17"/>
        <v>-6165</v>
      </c>
      <c r="U64" s="70">
        <f t="shared" si="17"/>
        <v>2714</v>
      </c>
      <c r="V64" s="70">
        <f t="shared" si="17"/>
        <v>-4436</v>
      </c>
      <c r="W64" s="70">
        <f t="shared" si="17"/>
        <v>-6165</v>
      </c>
      <c r="X64" s="70">
        <f t="shared" si="17"/>
        <v>2714</v>
      </c>
      <c r="Y64" s="100">
        <f>Y63-Y62</f>
        <v>-4436</v>
      </c>
      <c r="Z64" s="70">
        <f t="shared" si="17"/>
        <v>6303</v>
      </c>
      <c r="AA64" s="70">
        <f t="shared" si="17"/>
        <v>6415</v>
      </c>
      <c r="AB64" s="100">
        <f>AB63-AB62</f>
        <v>11395</v>
      </c>
      <c r="AC64" s="70">
        <f t="shared" si="17"/>
        <v>-14509</v>
      </c>
      <c r="AD64" s="70">
        <f t="shared" si="17"/>
        <v>-9892</v>
      </c>
      <c r="AE64" s="100">
        <f>AE63-AE62</f>
        <v>1500</v>
      </c>
      <c r="AF64" s="70">
        <f t="shared" si="17"/>
        <v>1350</v>
      </c>
      <c r="AG64" s="70">
        <f t="shared" si="17"/>
        <v>-4028</v>
      </c>
      <c r="AH64" s="100">
        <f>AH63-AH62</f>
        <v>-1021</v>
      </c>
      <c r="AI64" s="70">
        <f t="shared" si="17"/>
        <v>6262</v>
      </c>
      <c r="AJ64" s="70">
        <f t="shared" si="17"/>
        <v>8652</v>
      </c>
      <c r="AK64" s="100">
        <f>AK63-AK62</f>
        <v>-3745</v>
      </c>
      <c r="AL64" s="70"/>
      <c r="AM64" s="70"/>
      <c r="AN64" s="70"/>
      <c r="AO64" s="68">
        <f t="shared" ref="AO64:AQ66" si="18">B64+E64+H64+W64+Z64+AC64+AF64+AI64</f>
        <v>166330</v>
      </c>
      <c r="AP64" s="60">
        <f t="shared" si="18"/>
        <v>197384</v>
      </c>
      <c r="AQ64" s="60">
        <f t="shared" si="18"/>
        <v>308754</v>
      </c>
      <c r="AR64" s="3">
        <f>AR63-AR62</f>
        <v>166330</v>
      </c>
      <c r="AS64" s="3">
        <f>AS63-AS62</f>
        <v>197384</v>
      </c>
      <c r="AT64" s="3">
        <f>AT63-AT62</f>
        <v>308754</v>
      </c>
      <c r="AU64" s="4"/>
      <c r="AV64" s="4"/>
      <c r="AW64" s="4"/>
      <c r="AX64" s="4"/>
      <c r="AY64" s="4"/>
    </row>
    <row r="65" spans="1:51" s="5" customFormat="1" ht="12.75" customHeight="1" x14ac:dyDescent="0.25">
      <c r="A65" s="83" t="s">
        <v>67</v>
      </c>
      <c r="B65" s="71">
        <v>44624</v>
      </c>
      <c r="C65" s="71">
        <v>42421</v>
      </c>
      <c r="D65" s="98">
        <v>37351</v>
      </c>
      <c r="E65" s="71">
        <v>50202</v>
      </c>
      <c r="F65" s="71">
        <v>49731</v>
      </c>
      <c r="G65" s="98">
        <v>43985</v>
      </c>
      <c r="H65" s="71">
        <v>23016</v>
      </c>
      <c r="I65" s="71">
        <v>23296</v>
      </c>
      <c r="J65" s="98">
        <v>20631</v>
      </c>
      <c r="K65" s="71">
        <v>9204</v>
      </c>
      <c r="L65" s="71">
        <v>8822</v>
      </c>
      <c r="M65" s="98">
        <v>7856</v>
      </c>
      <c r="N65" s="71">
        <v>7084</v>
      </c>
      <c r="O65" s="71">
        <v>6688</v>
      </c>
      <c r="P65" s="98">
        <v>6047</v>
      </c>
      <c r="Q65" s="71">
        <v>3570</v>
      </c>
      <c r="R65" s="71">
        <v>3402</v>
      </c>
      <c r="S65" s="98">
        <v>3011</v>
      </c>
      <c r="T65" s="68">
        <f>K65+N65+Q65</f>
        <v>19858</v>
      </c>
      <c r="U65" s="72">
        <f>L65+O65+R65</f>
        <v>18912</v>
      </c>
      <c r="V65" s="72">
        <f>M65+P65+S65</f>
        <v>16914</v>
      </c>
      <c r="W65" s="73">
        <v>19858</v>
      </c>
      <c r="X65" s="73">
        <v>18912</v>
      </c>
      <c r="Y65" s="98">
        <v>16914</v>
      </c>
      <c r="Z65" s="71">
        <v>15842</v>
      </c>
      <c r="AA65" s="71">
        <v>14665</v>
      </c>
      <c r="AB65" s="98">
        <v>13528</v>
      </c>
      <c r="AC65" s="71">
        <v>8144</v>
      </c>
      <c r="AD65" s="71">
        <v>7251</v>
      </c>
      <c r="AE65" s="98">
        <v>6456</v>
      </c>
      <c r="AF65" s="71">
        <v>13164</v>
      </c>
      <c r="AG65" s="71">
        <v>11768</v>
      </c>
      <c r="AH65" s="98">
        <v>10843</v>
      </c>
      <c r="AI65" s="71">
        <v>5150</v>
      </c>
      <c r="AJ65" s="71">
        <v>5383</v>
      </c>
      <c r="AK65" s="98">
        <v>4621</v>
      </c>
      <c r="AL65" s="70"/>
      <c r="AM65" s="70"/>
      <c r="AN65" s="70"/>
      <c r="AO65" s="68">
        <f t="shared" si="18"/>
        <v>180000</v>
      </c>
      <c r="AP65" s="60">
        <f t="shared" si="18"/>
        <v>173427</v>
      </c>
      <c r="AQ65" s="60">
        <f t="shared" si="18"/>
        <v>154329</v>
      </c>
      <c r="AR65" s="94">
        <v>180000</v>
      </c>
      <c r="AS65" s="4">
        <v>173427</v>
      </c>
      <c r="AT65" s="4">
        <v>154329</v>
      </c>
      <c r="AU65" s="4"/>
      <c r="AV65" s="4"/>
      <c r="AW65" s="4"/>
      <c r="AX65" s="4"/>
      <c r="AY65" s="4"/>
    </row>
    <row r="66" spans="1:51" s="106" customFormat="1" ht="28.5" customHeight="1" x14ac:dyDescent="0.2">
      <c r="A66" s="101" t="s">
        <v>99</v>
      </c>
      <c r="B66" s="70">
        <f t="shared" ref="B66:AJ66" si="19">B64-B65</f>
        <v>53840</v>
      </c>
      <c r="C66" s="70">
        <f t="shared" si="19"/>
        <v>63875</v>
      </c>
      <c r="D66" s="102">
        <f>D64-D65</f>
        <v>181527</v>
      </c>
      <c r="E66" s="70">
        <f t="shared" si="19"/>
        <v>18195</v>
      </c>
      <c r="F66" s="70">
        <f t="shared" si="19"/>
        <v>28943</v>
      </c>
      <c r="G66" s="102">
        <f>G64-G65</f>
        <v>36097</v>
      </c>
      <c r="H66" s="70">
        <f t="shared" si="19"/>
        <v>-16788</v>
      </c>
      <c r="I66" s="70">
        <f t="shared" si="19"/>
        <v>-14743</v>
      </c>
      <c r="J66" s="102">
        <f>J64-J65</f>
        <v>-14530</v>
      </c>
      <c r="K66" s="70">
        <f t="shared" si="19"/>
        <v>-29786</v>
      </c>
      <c r="L66" s="70">
        <f t="shared" si="19"/>
        <v>-20754</v>
      </c>
      <c r="M66" s="102">
        <f>M64-M65</f>
        <v>-20966</v>
      </c>
      <c r="N66" s="70">
        <f t="shared" si="19"/>
        <v>-7423</v>
      </c>
      <c r="O66" s="70">
        <f t="shared" si="19"/>
        <v>-7701</v>
      </c>
      <c r="P66" s="102">
        <f>P64-P65</f>
        <v>-8935</v>
      </c>
      <c r="Q66" s="70">
        <f t="shared" si="19"/>
        <v>11186</v>
      </c>
      <c r="R66" s="70">
        <f t="shared" si="19"/>
        <v>12257</v>
      </c>
      <c r="S66" s="102">
        <f>S64-S65</f>
        <v>8551</v>
      </c>
      <c r="T66" s="70">
        <f t="shared" si="19"/>
        <v>-26023</v>
      </c>
      <c r="U66" s="70">
        <f t="shared" si="19"/>
        <v>-16198</v>
      </c>
      <c r="V66" s="70">
        <f t="shared" si="19"/>
        <v>-21350</v>
      </c>
      <c r="W66" s="70">
        <f t="shared" si="19"/>
        <v>-26023</v>
      </c>
      <c r="X66" s="70">
        <f t="shared" si="19"/>
        <v>-16198</v>
      </c>
      <c r="Y66" s="102">
        <f>Y64-Y65</f>
        <v>-21350</v>
      </c>
      <c r="Z66" s="70">
        <f t="shared" si="19"/>
        <v>-9539</v>
      </c>
      <c r="AA66" s="70">
        <f t="shared" si="19"/>
        <v>-8250</v>
      </c>
      <c r="AB66" s="102">
        <f>AB64-AB65</f>
        <v>-2133</v>
      </c>
      <c r="AC66" s="70">
        <f t="shared" si="19"/>
        <v>-22653</v>
      </c>
      <c r="AD66" s="70">
        <f t="shared" si="19"/>
        <v>-17143</v>
      </c>
      <c r="AE66" s="102">
        <f>AE64-AE65</f>
        <v>-4956</v>
      </c>
      <c r="AF66" s="70">
        <f t="shared" si="19"/>
        <v>-11814</v>
      </c>
      <c r="AG66" s="70">
        <f t="shared" si="19"/>
        <v>-15796</v>
      </c>
      <c r="AH66" s="102">
        <f>AH64-AH65</f>
        <v>-11864</v>
      </c>
      <c r="AI66" s="70">
        <f t="shared" si="19"/>
        <v>1112</v>
      </c>
      <c r="AJ66" s="70">
        <f t="shared" si="19"/>
        <v>3269</v>
      </c>
      <c r="AK66" s="102">
        <f>AK64-AK65</f>
        <v>-8366</v>
      </c>
      <c r="AL66" s="70"/>
      <c r="AM66" s="70"/>
      <c r="AN66" s="70"/>
      <c r="AO66" s="68">
        <f t="shared" si="18"/>
        <v>-13670</v>
      </c>
      <c r="AP66" s="103">
        <f>C66+F66+I66+X66+AA66+AD66+AG66+AJ66</f>
        <v>23957</v>
      </c>
      <c r="AQ66" s="103">
        <f t="shared" si="18"/>
        <v>154425</v>
      </c>
      <c r="AR66" s="104">
        <f>AR64-AR65</f>
        <v>-13670</v>
      </c>
      <c r="AS66" s="104">
        <f>AS64-AS65</f>
        <v>23957</v>
      </c>
      <c r="AT66" s="104">
        <f>AT64-AT65</f>
        <v>154425</v>
      </c>
      <c r="AU66" s="105"/>
      <c r="AV66" s="105"/>
      <c r="AW66" s="105"/>
      <c r="AX66" s="105"/>
      <c r="AY66" s="105"/>
    </row>
    <row r="67" spans="1:51" s="106" customFormat="1" ht="17.25" hidden="1" customHeight="1" x14ac:dyDescent="0.2">
      <c r="A67" s="101" t="s">
        <v>97</v>
      </c>
      <c r="B67" s="70"/>
      <c r="C67" s="70"/>
      <c r="D67" s="102"/>
      <c r="E67" s="70"/>
      <c r="F67" s="70"/>
      <c r="G67" s="102"/>
      <c r="H67" s="70"/>
      <c r="I67" s="70"/>
      <c r="J67" s="102"/>
      <c r="K67" s="70"/>
      <c r="L67" s="70"/>
      <c r="M67" s="102"/>
      <c r="N67" s="70"/>
      <c r="O67" s="70"/>
      <c r="P67" s="102"/>
      <c r="Q67" s="70"/>
      <c r="R67" s="70"/>
      <c r="S67" s="102"/>
      <c r="T67" s="70"/>
      <c r="U67" s="70"/>
      <c r="V67" s="70"/>
      <c r="W67" s="70"/>
      <c r="X67" s="70"/>
      <c r="Y67" s="102"/>
      <c r="Z67" s="70"/>
      <c r="AA67" s="70"/>
      <c r="AB67" s="102"/>
      <c r="AC67" s="70"/>
      <c r="AD67" s="70"/>
      <c r="AE67" s="102"/>
      <c r="AF67" s="70"/>
      <c r="AG67" s="70"/>
      <c r="AH67" s="102"/>
      <c r="AI67" s="70"/>
      <c r="AJ67" s="70"/>
      <c r="AK67" s="102"/>
      <c r="AL67" s="70"/>
      <c r="AM67" s="70"/>
      <c r="AN67" s="70"/>
      <c r="AO67" s="68"/>
      <c r="AP67" s="103">
        <f>SUM(AP68:AP72)</f>
        <v>184175</v>
      </c>
      <c r="AQ67" s="103"/>
      <c r="AR67" s="104"/>
      <c r="AS67" s="104">
        <v>184175</v>
      </c>
      <c r="AT67" s="104"/>
      <c r="AU67" s="105"/>
      <c r="AV67" s="105"/>
      <c r="AW67" s="105"/>
      <c r="AX67" s="105"/>
      <c r="AY67" s="105"/>
    </row>
    <row r="68" spans="1:51" s="112" customFormat="1" ht="14.25" hidden="1" customHeight="1" x14ac:dyDescent="0.2">
      <c r="A68" s="107" t="s">
        <v>100</v>
      </c>
      <c r="B68" s="108"/>
      <c r="C68" s="108">
        <v>38175</v>
      </c>
      <c r="D68" s="109">
        <v>44089</v>
      </c>
      <c r="E68" s="108"/>
      <c r="F68" s="108">
        <v>26559</v>
      </c>
      <c r="G68" s="109">
        <v>24981</v>
      </c>
      <c r="H68" s="108"/>
      <c r="I68" s="108">
        <v>16398</v>
      </c>
      <c r="J68" s="109">
        <v>15353</v>
      </c>
      <c r="K68" s="108"/>
      <c r="L68" s="108">
        <v>6742</v>
      </c>
      <c r="M68" s="109">
        <v>2251</v>
      </c>
      <c r="N68" s="108"/>
      <c r="O68" s="108">
        <v>3708</v>
      </c>
      <c r="P68" s="109">
        <v>904</v>
      </c>
      <c r="Q68" s="108"/>
      <c r="R68" s="108">
        <v>3320</v>
      </c>
      <c r="S68" s="109">
        <v>771</v>
      </c>
      <c r="T68" s="108"/>
      <c r="U68" s="113">
        <f>L68+O68+R68</f>
        <v>13770</v>
      </c>
      <c r="V68" s="72">
        <f>M68+P68+S68</f>
        <v>3926</v>
      </c>
      <c r="W68" s="108"/>
      <c r="X68" s="108">
        <v>13770</v>
      </c>
      <c r="Y68" s="109">
        <v>3926</v>
      </c>
      <c r="Z68" s="108"/>
      <c r="AA68" s="108">
        <v>13972</v>
      </c>
      <c r="AB68" s="109">
        <v>5151</v>
      </c>
      <c r="AC68" s="108"/>
      <c r="AD68" s="108">
        <v>5959</v>
      </c>
      <c r="AE68" s="109">
        <v>4482</v>
      </c>
      <c r="AF68" s="108"/>
      <c r="AG68" s="108">
        <v>2926</v>
      </c>
      <c r="AH68" s="109">
        <v>1718</v>
      </c>
      <c r="AI68" s="108"/>
      <c r="AJ68" s="108">
        <v>2799</v>
      </c>
      <c r="AK68" s="109">
        <v>2174</v>
      </c>
      <c r="AL68" s="108"/>
      <c r="AM68" s="108">
        <v>3695</v>
      </c>
      <c r="AN68" s="108">
        <v>0</v>
      </c>
      <c r="AO68" s="119">
        <f>B68+E68+H68+W68+Z68+AC68+AF68+AI68+AL68</f>
        <v>0</v>
      </c>
      <c r="AP68" s="119">
        <f>C68+F68+I68+X68+AA68+AD68+AG68+AJ68+AM68</f>
        <v>124253</v>
      </c>
      <c r="AQ68" s="119">
        <f>D68+G68+J68+Y68+AB68+AE68+AH68+AK68+AN68</f>
        <v>101874</v>
      </c>
      <c r="AR68" s="110"/>
      <c r="AS68" s="110">
        <v>124253</v>
      </c>
      <c r="AT68" s="110">
        <v>101874</v>
      </c>
      <c r="AU68" s="111"/>
      <c r="AV68" s="111"/>
      <c r="AW68" s="111"/>
      <c r="AX68" s="111"/>
      <c r="AY68" s="111"/>
    </row>
    <row r="69" spans="1:51" s="112" customFormat="1" ht="12.75" hidden="1" customHeight="1" x14ac:dyDescent="0.2">
      <c r="A69" s="107" t="s">
        <v>109</v>
      </c>
      <c r="B69" s="108"/>
      <c r="C69" s="108"/>
      <c r="D69" s="109">
        <v>95668</v>
      </c>
      <c r="E69" s="108"/>
      <c r="F69" s="108"/>
      <c r="G69" s="109"/>
      <c r="H69" s="108"/>
      <c r="I69" s="108"/>
      <c r="J69" s="109"/>
      <c r="K69" s="108"/>
      <c r="L69" s="108">
        <v>64</v>
      </c>
      <c r="M69" s="109"/>
      <c r="N69" s="108"/>
      <c r="O69" s="108">
        <v>43</v>
      </c>
      <c r="P69" s="109"/>
      <c r="Q69" s="108"/>
      <c r="R69" s="108"/>
      <c r="S69" s="109"/>
      <c r="T69" s="108"/>
      <c r="U69" s="113">
        <f t="shared" ref="U69:U71" si="20">L69+O69+R69</f>
        <v>107</v>
      </c>
      <c r="V69" s="72">
        <f t="shared" ref="V69:V78" si="21">M69+P69+S69</f>
        <v>0</v>
      </c>
      <c r="W69" s="108"/>
      <c r="X69" s="108">
        <v>107</v>
      </c>
      <c r="Y69" s="109"/>
      <c r="Z69" s="108"/>
      <c r="AA69" s="108"/>
      <c r="AB69" s="109"/>
      <c r="AC69" s="108"/>
      <c r="AD69" s="108"/>
      <c r="AE69" s="109"/>
      <c r="AF69" s="108"/>
      <c r="AG69" s="108"/>
      <c r="AH69" s="109"/>
      <c r="AI69" s="108"/>
      <c r="AJ69" s="108"/>
      <c r="AK69" s="109"/>
      <c r="AL69" s="108"/>
      <c r="AM69" s="108"/>
      <c r="AN69" s="108"/>
      <c r="AO69" s="60">
        <f t="shared" ref="AO69:AO78" si="22">B69+E69+H69+W69+Z69+AC69+AF69+AI69+AL69</f>
        <v>0</v>
      </c>
      <c r="AP69" s="119">
        <f>C69+F69+I69+X69+AA69+AD69+AG69+AJ69+AM69</f>
        <v>107</v>
      </c>
      <c r="AQ69" s="60">
        <f t="shared" ref="AQ69:AQ78" si="23">D69+G69+J69+Y69+AB69+AE69+AH69+AK69+AN69</f>
        <v>95668</v>
      </c>
      <c r="AR69" s="110"/>
      <c r="AS69" s="110">
        <v>107</v>
      </c>
      <c r="AT69" s="110">
        <v>95668</v>
      </c>
      <c r="AU69" s="111"/>
      <c r="AV69" s="111"/>
      <c r="AW69" s="111"/>
      <c r="AX69" s="111"/>
      <c r="AY69" s="111"/>
    </row>
    <row r="70" spans="1:51" s="106" customFormat="1" ht="12.75" hidden="1" customHeight="1" x14ac:dyDescent="0.2">
      <c r="A70" s="101" t="s">
        <v>98</v>
      </c>
      <c r="B70" s="70"/>
      <c r="C70" s="70"/>
      <c r="D70" s="70">
        <v>0</v>
      </c>
      <c r="E70" s="70"/>
      <c r="F70" s="70"/>
      <c r="G70" s="70">
        <v>2366</v>
      </c>
      <c r="H70" s="70">
        <v>322</v>
      </c>
      <c r="I70" s="70">
        <f>143+77</f>
        <v>220</v>
      </c>
      <c r="J70" s="70">
        <v>322</v>
      </c>
      <c r="K70" s="70"/>
      <c r="L70" s="70">
        <f>197+992+157</f>
        <v>1346</v>
      </c>
      <c r="M70" s="70"/>
      <c r="N70" s="70"/>
      <c r="O70" s="70"/>
      <c r="P70" s="70"/>
      <c r="Q70" s="70"/>
      <c r="R70" s="70"/>
      <c r="S70" s="70"/>
      <c r="T70" s="70"/>
      <c r="U70" s="72">
        <f t="shared" si="20"/>
        <v>1346</v>
      </c>
      <c r="V70" s="72">
        <f t="shared" si="21"/>
        <v>0</v>
      </c>
      <c r="W70" s="70"/>
      <c r="X70" s="70">
        <v>1346</v>
      </c>
      <c r="Y70" s="70"/>
      <c r="Z70" s="70"/>
      <c r="AA70" s="70">
        <f>117+115+-35+-27</f>
        <v>170</v>
      </c>
      <c r="AB70" s="70">
        <v>716</v>
      </c>
      <c r="AC70" s="70"/>
      <c r="AD70" s="70">
        <v>5</v>
      </c>
      <c r="AE70" s="70">
        <v>299</v>
      </c>
      <c r="AF70" s="70"/>
      <c r="AG70" s="70">
        <v>270</v>
      </c>
      <c r="AH70" s="70">
        <v>131</v>
      </c>
      <c r="AI70" s="70"/>
      <c r="AJ70" s="70"/>
      <c r="AK70" s="70"/>
      <c r="AL70" s="70"/>
      <c r="AM70" s="70"/>
      <c r="AN70" s="70"/>
      <c r="AO70" s="60">
        <f t="shared" si="22"/>
        <v>322</v>
      </c>
      <c r="AP70" s="60">
        <f t="shared" ref="AP70:AP78" si="24">C70+F70+I70+X70+AA70+AD70+AG70+AJ70+AM70</f>
        <v>2011</v>
      </c>
      <c r="AQ70" s="60">
        <f t="shared" si="23"/>
        <v>3834</v>
      </c>
      <c r="AR70" s="121">
        <v>322</v>
      </c>
      <c r="AS70" s="104">
        <v>2011</v>
      </c>
      <c r="AT70" s="104">
        <v>3834</v>
      </c>
      <c r="AU70" s="105"/>
      <c r="AV70" s="105"/>
      <c r="AW70" s="105"/>
      <c r="AX70" s="105"/>
      <c r="AY70" s="105"/>
    </row>
    <row r="71" spans="1:51" s="106" customFormat="1" ht="14.25" hidden="1" customHeight="1" x14ac:dyDescent="0.2">
      <c r="A71" s="101" t="s">
        <v>107</v>
      </c>
      <c r="B71" s="70"/>
      <c r="C71" s="70">
        <v>34493</v>
      </c>
      <c r="D71" s="70">
        <v>10655</v>
      </c>
      <c r="E71" s="70"/>
      <c r="F71" s="70">
        <v>1388</v>
      </c>
      <c r="G71" s="70">
        <v>5037</v>
      </c>
      <c r="H71" s="70">
        <v>4444</v>
      </c>
      <c r="I71" s="70">
        <v>4141</v>
      </c>
      <c r="J71" s="70">
        <v>4444</v>
      </c>
      <c r="K71" s="70"/>
      <c r="L71" s="70">
        <v>1671</v>
      </c>
      <c r="M71" s="70">
        <v>11764</v>
      </c>
      <c r="N71" s="70"/>
      <c r="O71" s="70">
        <v>310</v>
      </c>
      <c r="P71" s="70">
        <v>1736</v>
      </c>
      <c r="Q71" s="70"/>
      <c r="R71" s="70">
        <v>461</v>
      </c>
      <c r="S71" s="70">
        <v>1421</v>
      </c>
      <c r="T71" s="70"/>
      <c r="U71" s="72">
        <f t="shared" si="20"/>
        <v>2442</v>
      </c>
      <c r="V71" s="72">
        <f t="shared" si="21"/>
        <v>14921</v>
      </c>
      <c r="W71" s="70"/>
      <c r="X71" s="70">
        <v>2442</v>
      </c>
      <c r="Y71" s="70">
        <v>14921</v>
      </c>
      <c r="Z71" s="70"/>
      <c r="AA71" s="70">
        <v>7425</v>
      </c>
      <c r="AB71" s="70">
        <v>15121</v>
      </c>
      <c r="AC71" s="70"/>
      <c r="AD71" s="70">
        <v>2088</v>
      </c>
      <c r="AE71" s="70">
        <v>4478</v>
      </c>
      <c r="AF71" s="70"/>
      <c r="AG71" s="70">
        <v>49</v>
      </c>
      <c r="AH71" s="70">
        <v>1772</v>
      </c>
      <c r="AI71" s="70">
        <v>8743</v>
      </c>
      <c r="AJ71" s="70">
        <v>2702</v>
      </c>
      <c r="AK71" s="70">
        <v>8743</v>
      </c>
      <c r="AL71" s="70"/>
      <c r="AM71" s="70"/>
      <c r="AN71" s="70"/>
      <c r="AO71" s="60">
        <f t="shared" si="22"/>
        <v>13187</v>
      </c>
      <c r="AP71" s="60">
        <f t="shared" si="24"/>
        <v>54728</v>
      </c>
      <c r="AQ71" s="60">
        <f t="shared" si="23"/>
        <v>65171</v>
      </c>
      <c r="AR71" s="121">
        <v>13187</v>
      </c>
      <c r="AS71" s="104">
        <v>54728</v>
      </c>
      <c r="AT71" s="104">
        <v>65171</v>
      </c>
      <c r="AU71" s="105"/>
      <c r="AV71" s="105"/>
      <c r="AW71" s="105"/>
      <c r="AX71" s="105"/>
      <c r="AY71" s="105"/>
    </row>
    <row r="72" spans="1:51" s="112" customFormat="1" ht="12.75" hidden="1" customHeight="1" x14ac:dyDescent="0.2">
      <c r="A72" s="107" t="s">
        <v>97</v>
      </c>
      <c r="B72" s="108"/>
      <c r="C72" s="108">
        <f>49+21+531</f>
        <v>601</v>
      </c>
      <c r="D72" s="108">
        <v>183</v>
      </c>
      <c r="E72" s="108"/>
      <c r="F72" s="108">
        <f>13</f>
        <v>13</v>
      </c>
      <c r="G72" s="108">
        <v>132</v>
      </c>
      <c r="H72" s="108"/>
      <c r="I72" s="108">
        <f>20+8</f>
        <v>28</v>
      </c>
      <c r="J72" s="108">
        <v>37</v>
      </c>
      <c r="K72" s="108"/>
      <c r="L72" s="108">
        <f>10+726</f>
        <v>736</v>
      </c>
      <c r="M72" s="108">
        <v>105</v>
      </c>
      <c r="N72" s="108"/>
      <c r="O72" s="108">
        <f>8</f>
        <v>8</v>
      </c>
      <c r="P72" s="108">
        <v>-5</v>
      </c>
      <c r="Q72" s="108"/>
      <c r="R72" s="108">
        <f>5+4</f>
        <v>9</v>
      </c>
      <c r="S72" s="108">
        <v>3</v>
      </c>
      <c r="T72" s="108"/>
      <c r="U72" s="113">
        <f>L72+O72+R72</f>
        <v>753</v>
      </c>
      <c r="V72" s="113">
        <f t="shared" si="21"/>
        <v>103</v>
      </c>
      <c r="W72" s="108"/>
      <c r="X72" s="108">
        <v>753</v>
      </c>
      <c r="Y72" s="108">
        <v>103</v>
      </c>
      <c r="Z72" s="108"/>
      <c r="AA72" s="108">
        <f>13+102</f>
        <v>115</v>
      </c>
      <c r="AB72" s="108">
        <v>313</v>
      </c>
      <c r="AC72" s="108"/>
      <c r="AD72" s="108">
        <f>102+266+49+7</f>
        <v>424</v>
      </c>
      <c r="AE72" s="108">
        <v>160</v>
      </c>
      <c r="AF72" s="108"/>
      <c r="AG72" s="108">
        <f>10+458</f>
        <v>468</v>
      </c>
      <c r="AH72" s="108">
        <v>-7</v>
      </c>
      <c r="AI72" s="108"/>
      <c r="AJ72" s="108">
        <f>70+2</f>
        <v>72</v>
      </c>
      <c r="AK72" s="108">
        <v>31</v>
      </c>
      <c r="AL72" s="108"/>
      <c r="AM72" s="108">
        <v>602</v>
      </c>
      <c r="AN72" s="108">
        <v>4923</v>
      </c>
      <c r="AO72" s="119">
        <f t="shared" si="22"/>
        <v>0</v>
      </c>
      <c r="AP72" s="119">
        <f t="shared" si="24"/>
        <v>3076</v>
      </c>
      <c r="AQ72" s="119">
        <f t="shared" si="23"/>
        <v>5875</v>
      </c>
      <c r="AR72" s="114"/>
      <c r="AS72" s="110">
        <v>3076</v>
      </c>
      <c r="AT72" s="110">
        <v>5875</v>
      </c>
      <c r="AU72" s="111"/>
      <c r="AV72" s="111"/>
      <c r="AW72" s="111"/>
      <c r="AX72" s="111"/>
      <c r="AY72" s="111"/>
    </row>
    <row r="73" spans="1:51" s="112" customFormat="1" ht="12.75" hidden="1" customHeight="1" x14ac:dyDescent="0.2">
      <c r="A73" s="107" t="s">
        <v>111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13"/>
      <c r="V73" s="113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>
        <v>1786</v>
      </c>
      <c r="AN73" s="108"/>
      <c r="AO73" s="119"/>
      <c r="AP73" s="119">
        <f t="shared" si="24"/>
        <v>1786</v>
      </c>
      <c r="AQ73" s="119"/>
      <c r="AR73" s="114"/>
      <c r="AS73" s="110">
        <v>1786</v>
      </c>
      <c r="AT73" s="110"/>
      <c r="AU73" s="111"/>
      <c r="AV73" s="111"/>
      <c r="AW73" s="111"/>
      <c r="AX73" s="111"/>
      <c r="AY73" s="111"/>
    </row>
    <row r="74" spans="1:51" s="112" customFormat="1" ht="12.75" hidden="1" customHeight="1" x14ac:dyDescent="0.2">
      <c r="A74" s="107" t="s">
        <v>95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72">
        <f t="shared" ref="U74:U78" si="25">L74+O74+R74</f>
        <v>0</v>
      </c>
      <c r="V74" s="72">
        <f t="shared" si="21"/>
        <v>0</v>
      </c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60">
        <f t="shared" si="22"/>
        <v>0</v>
      </c>
      <c r="AP74" s="60">
        <f>SUM(AP75:AP77)</f>
        <v>161579</v>
      </c>
      <c r="AQ74" s="60">
        <f t="shared" si="23"/>
        <v>0</v>
      </c>
      <c r="AR74" s="114"/>
      <c r="AS74" s="110">
        <v>161579</v>
      </c>
      <c r="AT74" s="110">
        <v>0</v>
      </c>
      <c r="AU74" s="111"/>
      <c r="AV74" s="111"/>
      <c r="AW74" s="111"/>
      <c r="AX74" s="111"/>
      <c r="AY74" s="111"/>
    </row>
    <row r="75" spans="1:51" s="112" customFormat="1" ht="12.75" hidden="1" customHeight="1" x14ac:dyDescent="0.2">
      <c r="A75" s="107" t="s">
        <v>101</v>
      </c>
      <c r="B75" s="108"/>
      <c r="C75" s="108">
        <v>38175</v>
      </c>
      <c r="D75" s="108">
        <v>44015</v>
      </c>
      <c r="E75" s="108"/>
      <c r="F75" s="108">
        <v>26559</v>
      </c>
      <c r="G75" s="108">
        <v>24992</v>
      </c>
      <c r="H75" s="108"/>
      <c r="I75" s="108">
        <v>16398</v>
      </c>
      <c r="J75" s="108">
        <v>15353</v>
      </c>
      <c r="K75" s="108"/>
      <c r="L75" s="108">
        <v>6420</v>
      </c>
      <c r="M75" s="108">
        <v>2250</v>
      </c>
      <c r="N75" s="108"/>
      <c r="O75" s="108">
        <v>3708</v>
      </c>
      <c r="P75" s="108">
        <v>869</v>
      </c>
      <c r="Q75" s="108"/>
      <c r="R75" s="108">
        <v>3062</v>
      </c>
      <c r="S75" s="108">
        <v>771</v>
      </c>
      <c r="T75" s="108"/>
      <c r="U75" s="113">
        <f t="shared" si="25"/>
        <v>13190</v>
      </c>
      <c r="V75" s="72">
        <f t="shared" si="21"/>
        <v>3890</v>
      </c>
      <c r="W75" s="108"/>
      <c r="X75" s="108">
        <v>13190</v>
      </c>
      <c r="Y75" s="108">
        <v>3890</v>
      </c>
      <c r="Z75" s="108"/>
      <c r="AA75" s="108">
        <v>14468</v>
      </c>
      <c r="AB75" s="108">
        <v>5151</v>
      </c>
      <c r="AC75" s="108"/>
      <c r="AD75" s="108">
        <v>5959</v>
      </c>
      <c r="AE75" s="108">
        <v>4482</v>
      </c>
      <c r="AF75" s="108"/>
      <c r="AG75" s="108">
        <v>2926</v>
      </c>
      <c r="AH75" s="108">
        <v>1718</v>
      </c>
      <c r="AI75" s="108"/>
      <c r="AJ75" s="108">
        <v>2799</v>
      </c>
      <c r="AK75" s="108">
        <v>2174</v>
      </c>
      <c r="AL75" s="108"/>
      <c r="AM75" s="108">
        <v>3695</v>
      </c>
      <c r="AN75" s="108">
        <v>0</v>
      </c>
      <c r="AO75" s="119">
        <f t="shared" si="22"/>
        <v>0</v>
      </c>
      <c r="AP75" s="119">
        <f t="shared" si="24"/>
        <v>124169</v>
      </c>
      <c r="AQ75" s="119">
        <f t="shared" si="23"/>
        <v>101775</v>
      </c>
      <c r="AR75" s="114"/>
      <c r="AS75" s="110">
        <v>124169</v>
      </c>
      <c r="AT75" s="110">
        <v>101775</v>
      </c>
      <c r="AU75" s="111"/>
      <c r="AV75" s="111"/>
      <c r="AW75" s="111"/>
      <c r="AX75" s="111"/>
      <c r="AY75" s="111"/>
    </row>
    <row r="76" spans="1:51" s="112" customFormat="1" ht="12.75" hidden="1" customHeight="1" x14ac:dyDescent="0.2">
      <c r="A76" s="107" t="s">
        <v>112</v>
      </c>
      <c r="B76" s="108"/>
      <c r="C76" s="108">
        <v>4105</v>
      </c>
      <c r="D76" s="108"/>
      <c r="E76" s="108"/>
      <c r="F76" s="108">
        <v>2829</v>
      </c>
      <c r="G76" s="108"/>
      <c r="H76" s="108"/>
      <c r="I76" s="108">
        <v>1755</v>
      </c>
      <c r="J76" s="108"/>
      <c r="K76" s="108"/>
      <c r="L76" s="108">
        <v>4395</v>
      </c>
      <c r="M76" s="108"/>
      <c r="N76" s="108"/>
      <c r="O76" s="108">
        <v>730</v>
      </c>
      <c r="P76" s="108"/>
      <c r="Q76" s="108"/>
      <c r="R76" s="108">
        <v>272</v>
      </c>
      <c r="S76" s="108"/>
      <c r="T76" s="108"/>
      <c r="U76" s="113">
        <f t="shared" si="25"/>
        <v>5397</v>
      </c>
      <c r="V76" s="72"/>
      <c r="W76" s="108"/>
      <c r="X76" s="108">
        <v>5397</v>
      </c>
      <c r="Y76" s="108"/>
      <c r="Z76" s="108"/>
      <c r="AA76" s="108">
        <v>2944</v>
      </c>
      <c r="AB76" s="108"/>
      <c r="AC76" s="108"/>
      <c r="AD76" s="108">
        <v>906</v>
      </c>
      <c r="AE76" s="108"/>
      <c r="AF76" s="108"/>
      <c r="AG76" s="108">
        <v>464</v>
      </c>
      <c r="AH76" s="108"/>
      <c r="AI76" s="108"/>
      <c r="AJ76" s="108">
        <v>4180</v>
      </c>
      <c r="AK76" s="108"/>
      <c r="AL76" s="108"/>
      <c r="AM76" s="108"/>
      <c r="AN76" s="108"/>
      <c r="AO76" s="119"/>
      <c r="AP76" s="119">
        <f>C76+F76+I76+X76+AA76+AD76+AG76+AJ76+AM76</f>
        <v>22580</v>
      </c>
      <c r="AQ76" s="119"/>
      <c r="AR76" s="114"/>
      <c r="AS76" s="110">
        <v>22580</v>
      </c>
      <c r="AT76" s="110"/>
      <c r="AU76" s="111"/>
      <c r="AV76" s="111"/>
      <c r="AW76" s="111"/>
      <c r="AX76" s="111"/>
      <c r="AY76" s="111"/>
    </row>
    <row r="77" spans="1:51" s="112" customFormat="1" ht="12.75" hidden="1" customHeight="1" x14ac:dyDescent="0.2">
      <c r="A77" s="107" t="s">
        <v>95</v>
      </c>
      <c r="B77" s="108"/>
      <c r="C77" s="108">
        <f>2620+267+96</f>
        <v>2983</v>
      </c>
      <c r="D77" s="108">
        <v>5046</v>
      </c>
      <c r="E77" s="108"/>
      <c r="F77" s="108">
        <f>1+59+1982</f>
        <v>2042</v>
      </c>
      <c r="G77" s="108">
        <v>824</v>
      </c>
      <c r="H77" s="108"/>
      <c r="I77" s="108">
        <f>341+1757</f>
        <v>2098</v>
      </c>
      <c r="J77" s="108">
        <v>1479</v>
      </c>
      <c r="K77" s="108"/>
      <c r="L77" s="108">
        <f>2770+34</f>
        <v>2804</v>
      </c>
      <c r="M77" s="108">
        <v>2025</v>
      </c>
      <c r="N77" s="108"/>
      <c r="O77" s="108">
        <f>273</f>
        <v>273</v>
      </c>
      <c r="P77" s="108">
        <v>894</v>
      </c>
      <c r="Q77" s="108"/>
      <c r="R77" s="108">
        <v>226</v>
      </c>
      <c r="S77" s="108">
        <v>562</v>
      </c>
      <c r="T77" s="108"/>
      <c r="U77" s="113">
        <f t="shared" si="25"/>
        <v>3303</v>
      </c>
      <c r="V77" s="113">
        <f>M77+P77+S77</f>
        <v>3481</v>
      </c>
      <c r="W77" s="108"/>
      <c r="X77" s="108">
        <v>3303</v>
      </c>
      <c r="Y77" s="108">
        <v>3481</v>
      </c>
      <c r="Z77" s="108"/>
      <c r="AA77" s="108">
        <f>136+1817+248</f>
        <v>2201</v>
      </c>
      <c r="AB77" s="108">
        <v>2797</v>
      </c>
      <c r="AC77" s="108"/>
      <c r="AD77" s="108">
        <f>67+678</f>
        <v>745</v>
      </c>
      <c r="AE77" s="108">
        <v>491</v>
      </c>
      <c r="AF77" s="108"/>
      <c r="AG77" s="108">
        <f>109+686+8</f>
        <v>803</v>
      </c>
      <c r="AH77" s="108">
        <v>507</v>
      </c>
      <c r="AI77" s="108"/>
      <c r="AJ77" s="108">
        <f>1+142</f>
        <v>143</v>
      </c>
      <c r="AK77" s="108">
        <v>15</v>
      </c>
      <c r="AL77" s="108"/>
      <c r="AM77" s="108">
        <v>512</v>
      </c>
      <c r="AN77" s="108">
        <v>2294</v>
      </c>
      <c r="AO77" s="119">
        <f t="shared" si="22"/>
        <v>0</v>
      </c>
      <c r="AP77" s="119">
        <f>C77+F77+I77+X77+AA77+AD77+AG77+AJ77+AM77</f>
        <v>14830</v>
      </c>
      <c r="AQ77" s="119">
        <f t="shared" si="23"/>
        <v>16934</v>
      </c>
      <c r="AR77" s="114"/>
      <c r="AS77" s="110">
        <v>14830</v>
      </c>
      <c r="AT77" s="110">
        <v>16934</v>
      </c>
      <c r="AU77" s="111"/>
      <c r="AV77" s="111"/>
      <c r="AW77" s="111"/>
      <c r="AX77" s="111"/>
      <c r="AY77" s="111"/>
    </row>
    <row r="78" spans="1:51" s="112" customFormat="1" ht="12.75" hidden="1" customHeight="1" x14ac:dyDescent="0.2">
      <c r="A78" s="107" t="s">
        <v>96</v>
      </c>
      <c r="B78" s="120"/>
      <c r="C78" s="108"/>
      <c r="D78" s="108"/>
      <c r="E78" s="108"/>
      <c r="F78" s="108"/>
      <c r="G78" s="108">
        <v>1</v>
      </c>
      <c r="H78" s="108"/>
      <c r="I78" s="108"/>
      <c r="J78" s="108">
        <v>23</v>
      </c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13">
        <f t="shared" si="25"/>
        <v>0</v>
      </c>
      <c r="V78" s="113">
        <f t="shared" si="21"/>
        <v>0</v>
      </c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>
        <v>74</v>
      </c>
      <c r="AN78" s="108">
        <v>385</v>
      </c>
      <c r="AO78" s="119">
        <f t="shared" si="22"/>
        <v>0</v>
      </c>
      <c r="AP78" s="119">
        <f t="shared" si="24"/>
        <v>74</v>
      </c>
      <c r="AQ78" s="119">
        <f t="shared" si="23"/>
        <v>409</v>
      </c>
      <c r="AR78" s="114"/>
      <c r="AS78" s="110">
        <v>74</v>
      </c>
      <c r="AT78" s="110">
        <v>409</v>
      </c>
      <c r="AU78" s="111"/>
      <c r="AV78" s="111"/>
      <c r="AW78" s="111"/>
      <c r="AX78" s="111"/>
      <c r="AY78" s="111"/>
    </row>
    <row r="79" spans="1:51" s="118" customFormat="1" ht="12.75" hidden="1" customHeight="1" x14ac:dyDescent="0.2">
      <c r="A79" s="115" t="s">
        <v>92</v>
      </c>
      <c r="B79" s="108">
        <f>B66-B70-B72-B68-B69-B71+B75+B77+B78</f>
        <v>53840</v>
      </c>
      <c r="C79" s="108">
        <f t="shared" ref="C79:E79" si="26">C66-C70-C72-C68-C69-C71+C75+C77+C78</f>
        <v>31764</v>
      </c>
      <c r="D79" s="108">
        <f t="shared" si="26"/>
        <v>79993</v>
      </c>
      <c r="E79" s="108">
        <f t="shared" si="26"/>
        <v>18195</v>
      </c>
      <c r="F79" s="108">
        <f t="shared" ref="F79" si="27">F66-F70-F72-F68-F69-F71+F75+F77+F78</f>
        <v>29584</v>
      </c>
      <c r="G79" s="108">
        <f t="shared" ref="G79:H79" si="28">G66-G70-G72-G68-G69-G71+G75+G77+G78</f>
        <v>29398</v>
      </c>
      <c r="H79" s="108">
        <f t="shared" si="28"/>
        <v>-21554</v>
      </c>
      <c r="I79" s="108">
        <f t="shared" ref="I79" si="29">I66-I70-I72-I68-I69-I71+I75+I77+I78</f>
        <v>-17034</v>
      </c>
      <c r="J79" s="108">
        <f t="shared" ref="J79:K79" si="30">J66-J70-J72-J68-J69-J71+J75+J77+J78</f>
        <v>-17831</v>
      </c>
      <c r="K79" s="108">
        <f t="shared" si="30"/>
        <v>-29786</v>
      </c>
      <c r="L79" s="108">
        <f t="shared" ref="L79" si="31">L66-L70-L72-L68-L69-L71+L75+L77+L78</f>
        <v>-22089</v>
      </c>
      <c r="M79" s="108">
        <f t="shared" ref="M79:N79" si="32">M66-M70-M72-M68-M69-M71+M75+M77+M78</f>
        <v>-30811</v>
      </c>
      <c r="N79" s="108">
        <f t="shared" si="32"/>
        <v>-7423</v>
      </c>
      <c r="O79" s="108">
        <f t="shared" ref="O79" si="33">O66-O70-O72-O68-O69-O71+O75+O77+O78</f>
        <v>-7789</v>
      </c>
      <c r="P79" s="108">
        <f t="shared" ref="P79:Q79" si="34">P66-P70-P72-P68-P69-P71+P75+P77+P78</f>
        <v>-9807</v>
      </c>
      <c r="Q79" s="108">
        <f t="shared" si="34"/>
        <v>11186</v>
      </c>
      <c r="R79" s="108">
        <f t="shared" ref="R79" si="35">R66-R70-R72-R68-R69-R71+R75+R77+R78</f>
        <v>11755</v>
      </c>
      <c r="S79" s="108">
        <f t="shared" ref="S79:T79" si="36">S66-S70-S72-S68-S69-S71+S75+S77+S78</f>
        <v>7689</v>
      </c>
      <c r="T79" s="108">
        <f t="shared" si="36"/>
        <v>-26023</v>
      </c>
      <c r="U79" s="108">
        <f t="shared" ref="U79" si="37">U66-U70-U72-U68-U69-U71+U75+U77+U78</f>
        <v>-18123</v>
      </c>
      <c r="V79" s="108">
        <f t="shared" ref="V79:W79" si="38">V66-V70-V72-V68-V69-V71+V75+V77+V78</f>
        <v>-32929</v>
      </c>
      <c r="W79" s="108">
        <f t="shared" si="38"/>
        <v>-26023</v>
      </c>
      <c r="X79" s="108">
        <f t="shared" ref="X79" si="39">X66-X70-X72-X68-X69-X71+X75+X77+X78</f>
        <v>-18123</v>
      </c>
      <c r="Y79" s="108">
        <f t="shared" ref="Y79:Z79" si="40">Y66-Y70-Y72-Y68-Y69-Y71+Y75+Y77+Y78</f>
        <v>-32929</v>
      </c>
      <c r="Z79" s="108">
        <f t="shared" si="40"/>
        <v>-9539</v>
      </c>
      <c r="AA79" s="108">
        <f t="shared" ref="AA79" si="41">AA66-AA70-AA72-AA68-AA69-AA71+AA75+AA77+AA78</f>
        <v>-13263</v>
      </c>
      <c r="AB79" s="108">
        <f t="shared" ref="AB79:AC79" si="42">AB66-AB70-AB72-AB68-AB69-AB71+AB75+AB77+AB78</f>
        <v>-15486</v>
      </c>
      <c r="AC79" s="108">
        <f t="shared" si="42"/>
        <v>-22653</v>
      </c>
      <c r="AD79" s="108">
        <f t="shared" ref="AD79" si="43">AD66-AD70-AD72-AD68-AD69-AD71+AD75+AD77+AD78</f>
        <v>-18915</v>
      </c>
      <c r="AE79" s="108">
        <f t="shared" ref="AE79:AF79" si="44">AE66-AE70-AE72-AE68-AE69-AE71+AE75+AE77+AE78</f>
        <v>-9402</v>
      </c>
      <c r="AF79" s="108">
        <f t="shared" si="44"/>
        <v>-11814</v>
      </c>
      <c r="AG79" s="108">
        <f t="shared" ref="AG79" si="45">AG66-AG70-AG72-AG68-AG69-AG71+AG75+AG77+AG78</f>
        <v>-15780</v>
      </c>
      <c r="AH79" s="108">
        <f t="shared" ref="AH79:AI79" si="46">AH66-AH70-AH72-AH68-AH69-AH71+AH75+AH77+AH78</f>
        <v>-13253</v>
      </c>
      <c r="AI79" s="108">
        <f t="shared" si="46"/>
        <v>-7631</v>
      </c>
      <c r="AJ79" s="108">
        <f t="shared" ref="AJ79" si="47">AJ66-AJ70-AJ72-AJ68-AJ69-AJ71+AJ75+AJ77+AJ78</f>
        <v>638</v>
      </c>
      <c r="AK79" s="108">
        <f t="shared" ref="AK79:AL79" si="48">AK66-AK70-AK72-AK68-AK69-AK71+AK75+AK77+AK78</f>
        <v>-17125</v>
      </c>
      <c r="AL79" s="108">
        <f t="shared" si="48"/>
        <v>0</v>
      </c>
      <c r="AM79" s="108">
        <f t="shared" ref="AM79" si="49">AM66-AM70-AM72-AM68-AM69-AM71+AM75+AM77+AM78</f>
        <v>-16</v>
      </c>
      <c r="AN79" s="108">
        <f t="shared" ref="AN79:AO79" si="50">AN66-AN70-AN72-AN68-AN69-AN71+AN75+AN77+AN78</f>
        <v>-2244</v>
      </c>
      <c r="AO79" s="108">
        <f t="shared" si="50"/>
        <v>-27179</v>
      </c>
      <c r="AP79" s="108">
        <f>AP66-AP70-AP72-AP68-AP69-AP73-AP71+AP75+AP77+AP78+AP76</f>
        <v>-351</v>
      </c>
      <c r="AQ79" s="108">
        <f t="shared" ref="AQ79" si="51">AQ66-AQ70-AQ72-AQ68-AQ69-AQ71+AQ75+AQ77+AQ78</f>
        <v>1121</v>
      </c>
      <c r="AR79" s="116">
        <f t="shared" ref="AR79" si="52">AR66-AR68-AR69-AR70-AR71-AR72+AR75+AR77+AR78</f>
        <v>-27179</v>
      </c>
      <c r="AS79" s="108">
        <f>AS66-AS70-AS72-AS68-AS69-AS73-AS71+AS75+AS77+AS78+AS76</f>
        <v>-351</v>
      </c>
      <c r="AT79" s="116">
        <f>AT66-AT68-AT69-AT70-AT71-AT72+AT75+AT77+AT78</f>
        <v>1121</v>
      </c>
      <c r="AU79" s="117"/>
      <c r="AV79" s="117"/>
      <c r="AW79" s="117"/>
      <c r="AX79" s="117"/>
      <c r="AY79" s="117"/>
    </row>
    <row r="80" spans="1:51" s="17" customFormat="1" ht="30.75" hidden="1" customHeight="1" x14ac:dyDescent="0.2">
      <c r="A80" s="55"/>
      <c r="B80" s="90"/>
      <c r="C80" s="56"/>
      <c r="D80" s="56"/>
      <c r="E80" s="90" t="s">
        <v>5</v>
      </c>
      <c r="F80" s="56"/>
      <c r="G80" s="56"/>
      <c r="H80" s="90" t="s">
        <v>5</v>
      </c>
      <c r="I80" s="56"/>
      <c r="J80" s="56"/>
      <c r="K80" s="90" t="s">
        <v>5</v>
      </c>
      <c r="L80" s="56"/>
      <c r="M80" s="56"/>
      <c r="N80" s="90" t="s">
        <v>5</v>
      </c>
      <c r="O80" s="56"/>
      <c r="P80" s="56"/>
      <c r="Q80" s="90"/>
      <c r="R80" s="56"/>
      <c r="S80" s="56"/>
      <c r="T80" s="90"/>
      <c r="U80" s="56"/>
      <c r="V80" s="56"/>
      <c r="W80" s="90" t="s">
        <v>5</v>
      </c>
      <c r="X80" s="56"/>
      <c r="Y80" s="56"/>
      <c r="Z80" s="90" t="s">
        <v>5</v>
      </c>
      <c r="AA80" s="57"/>
      <c r="AB80" s="56"/>
      <c r="AC80" s="90" t="s">
        <v>5</v>
      </c>
      <c r="AD80" s="57"/>
      <c r="AE80" s="56"/>
      <c r="AF80" s="90" t="s">
        <v>5</v>
      </c>
      <c r="AG80" s="57"/>
      <c r="AH80" s="56"/>
      <c r="AI80" s="89" t="s">
        <v>5</v>
      </c>
      <c r="AJ80" s="58"/>
      <c r="AK80" s="58"/>
      <c r="AL80" s="58"/>
      <c r="AM80" s="58"/>
      <c r="AN80" s="58"/>
      <c r="AO80" s="89" t="s">
        <v>5</v>
      </c>
      <c r="AP80" s="15"/>
      <c r="AQ80" s="15"/>
      <c r="AR80" s="15"/>
      <c r="AS80" s="16"/>
      <c r="AT80" s="16"/>
      <c r="AU80" s="16"/>
      <c r="AV80" s="16"/>
      <c r="AW80" s="16"/>
      <c r="AX80" s="16"/>
      <c r="AY80" s="16"/>
    </row>
    <row r="81" spans="1:51" s="22" customFormat="1" ht="12.75" hidden="1" customHeight="1" x14ac:dyDescent="0.2">
      <c r="A81" s="18"/>
      <c r="B81" s="20" t="s">
        <v>18</v>
      </c>
      <c r="C81" s="20"/>
      <c r="D81" s="20"/>
      <c r="E81" s="19" t="s">
        <v>18</v>
      </c>
      <c r="F81" s="19"/>
      <c r="G81" s="19"/>
      <c r="H81" s="19" t="s">
        <v>18</v>
      </c>
      <c r="I81" s="19"/>
      <c r="J81" s="19"/>
      <c r="K81" s="19" t="s">
        <v>18</v>
      </c>
      <c r="L81" s="19"/>
      <c r="M81" s="19"/>
      <c r="N81" s="19" t="s">
        <v>18</v>
      </c>
      <c r="O81" s="19"/>
      <c r="P81" s="19"/>
      <c r="Q81" s="19" t="s">
        <v>18</v>
      </c>
      <c r="R81" s="19"/>
      <c r="S81" s="19"/>
      <c r="T81" s="19">
        <v>2016</v>
      </c>
      <c r="U81" s="19"/>
      <c r="V81" s="19"/>
      <c r="W81" s="19" t="s">
        <v>18</v>
      </c>
      <c r="X81" s="19"/>
      <c r="Y81" s="19"/>
      <c r="Z81" s="19" t="s">
        <v>18</v>
      </c>
      <c r="AA81" s="45"/>
      <c r="AB81" s="19"/>
      <c r="AC81" s="33" t="s">
        <v>18</v>
      </c>
      <c r="AD81" s="52"/>
      <c r="AE81" s="33"/>
      <c r="AF81" s="19" t="s">
        <v>18</v>
      </c>
      <c r="AG81" s="45"/>
      <c r="AH81" s="19"/>
      <c r="AI81" s="33" t="s">
        <v>18</v>
      </c>
      <c r="AJ81" s="33"/>
      <c r="AK81" s="33"/>
      <c r="AL81" s="19"/>
      <c r="AM81" s="19"/>
      <c r="AN81" s="19"/>
      <c r="AO81" s="19" t="s">
        <v>18</v>
      </c>
      <c r="AP81" s="21"/>
      <c r="AQ81" s="21"/>
      <c r="AR81" s="21"/>
      <c r="AS81" s="21"/>
      <c r="AT81" s="21"/>
      <c r="AU81" s="21"/>
      <c r="AV81" s="21"/>
      <c r="AW81" s="21"/>
      <c r="AX81" s="21"/>
      <c r="AY81" s="21"/>
    </row>
    <row r="82" spans="1:51" s="17" customFormat="1" ht="19.350000000000001" hidden="1" customHeight="1" x14ac:dyDescent="0.2">
      <c r="A82" s="28" t="s">
        <v>68</v>
      </c>
      <c r="B82" s="26">
        <f>SUM(B83:B97)</f>
        <v>0</v>
      </c>
      <c r="C82" s="26"/>
      <c r="D82" s="26"/>
      <c r="E82" s="26">
        <f>SUM(E83:E97)</f>
        <v>0</v>
      </c>
      <c r="F82" s="26"/>
      <c r="G82" s="26"/>
      <c r="H82" s="26">
        <f>SUM(H83:H97)</f>
        <v>0</v>
      </c>
      <c r="I82" s="26"/>
      <c r="J82" s="26"/>
      <c r="K82" s="26">
        <f>SUM(K83:K97)</f>
        <v>0</v>
      </c>
      <c r="L82" s="26"/>
      <c r="M82" s="26"/>
      <c r="N82" s="26">
        <f>SUM(N83:N97)</f>
        <v>0</v>
      </c>
      <c r="O82" s="26"/>
      <c r="P82" s="26"/>
      <c r="Q82" s="26"/>
      <c r="R82" s="26"/>
      <c r="S82" s="26"/>
      <c r="T82" s="26">
        <f>K82+N82+Q82</f>
        <v>0</v>
      </c>
      <c r="U82" s="26"/>
      <c r="V82" s="26"/>
      <c r="W82" s="26">
        <f>SUM(W83:W97)</f>
        <v>0</v>
      </c>
      <c r="X82" s="26"/>
      <c r="Y82" s="26"/>
      <c r="Z82" s="26">
        <f>SUM(Z83:Z97)</f>
        <v>0</v>
      </c>
      <c r="AA82" s="46"/>
      <c r="AB82" s="26"/>
      <c r="AC82" s="26">
        <f>SUM(AC83:AC97)</f>
        <v>150</v>
      </c>
      <c r="AD82" s="46"/>
      <c r="AE82" s="26"/>
      <c r="AF82" s="26">
        <f>SUM(AF83:AF97)</f>
        <v>0</v>
      </c>
      <c r="AG82" s="46"/>
      <c r="AH82" s="26"/>
      <c r="AI82" s="36">
        <v>0</v>
      </c>
      <c r="AJ82" s="36"/>
      <c r="AK82" s="36"/>
      <c r="AL82" s="26"/>
      <c r="AM82" s="26"/>
      <c r="AN82" s="26"/>
      <c r="AO82" s="23" t="e">
        <f>B82+E82+H82+W82+Z82+AC82+AF82+AI82+#REF!</f>
        <v>#REF!</v>
      </c>
      <c r="AP82" s="15"/>
      <c r="AQ82" s="15"/>
      <c r="AR82" s="15"/>
      <c r="AS82" s="16"/>
      <c r="AT82" s="16"/>
      <c r="AU82" s="16"/>
      <c r="AV82" s="16"/>
      <c r="AW82" s="16"/>
      <c r="AX82" s="16"/>
      <c r="AY82" s="16"/>
    </row>
    <row r="83" spans="1:51" s="17" customFormat="1" ht="19.350000000000001" hidden="1" customHeight="1" x14ac:dyDescent="0.2">
      <c r="A83" s="31" t="s">
        <v>69</v>
      </c>
      <c r="B83" s="26">
        <v>0</v>
      </c>
      <c r="C83" s="26"/>
      <c r="D83" s="26"/>
      <c r="E83" s="26">
        <v>0</v>
      </c>
      <c r="F83" s="26"/>
      <c r="G83" s="26"/>
      <c r="H83" s="26">
        <v>0</v>
      </c>
      <c r="I83" s="26"/>
      <c r="J83" s="26"/>
      <c r="K83" s="26">
        <v>0</v>
      </c>
      <c r="L83" s="26"/>
      <c r="M83" s="26"/>
      <c r="N83" s="26">
        <v>0</v>
      </c>
      <c r="O83" s="26"/>
      <c r="P83" s="26"/>
      <c r="Q83" s="26"/>
      <c r="R83" s="26"/>
      <c r="S83" s="26"/>
      <c r="T83" s="26"/>
      <c r="U83" s="26"/>
      <c r="V83" s="26"/>
      <c r="W83" s="26">
        <v>0</v>
      </c>
      <c r="X83" s="26"/>
      <c r="Y83" s="26"/>
      <c r="Z83" s="26">
        <v>0</v>
      </c>
      <c r="AA83" s="46"/>
      <c r="AB83" s="26"/>
      <c r="AC83" s="26">
        <v>0</v>
      </c>
      <c r="AD83" s="46"/>
      <c r="AE83" s="26"/>
      <c r="AF83" s="26">
        <v>0</v>
      </c>
      <c r="AG83" s="46"/>
      <c r="AH83" s="26"/>
      <c r="AI83" s="36">
        <v>0</v>
      </c>
      <c r="AJ83" s="36"/>
      <c r="AK83" s="36"/>
      <c r="AL83" s="26"/>
      <c r="AM83" s="26"/>
      <c r="AN83" s="26"/>
      <c r="AO83" s="23" t="e">
        <f>B83+E83+H83+W83+Z83+AC83+AF83+AI83+#REF!</f>
        <v>#REF!</v>
      </c>
      <c r="AP83" s="15"/>
      <c r="AQ83" s="15"/>
      <c r="AR83" s="15"/>
      <c r="AS83" s="16"/>
      <c r="AT83" s="16"/>
      <c r="AU83" s="16"/>
      <c r="AV83" s="16"/>
      <c r="AW83" s="16"/>
      <c r="AX83" s="16"/>
      <c r="AY83" s="16"/>
    </row>
    <row r="84" spans="1:51" s="34" customFormat="1" ht="17.100000000000001" hidden="1" customHeight="1" x14ac:dyDescent="0.25">
      <c r="A84" s="31" t="s">
        <v>70</v>
      </c>
      <c r="B84" s="26">
        <v>0</v>
      </c>
      <c r="C84" s="26"/>
      <c r="D84" s="26"/>
      <c r="E84" s="26">
        <v>0</v>
      </c>
      <c r="F84" s="26"/>
      <c r="G84" s="26"/>
      <c r="H84" s="26">
        <v>0</v>
      </c>
      <c r="I84" s="26"/>
      <c r="J84" s="26"/>
      <c r="K84" s="26">
        <v>0</v>
      </c>
      <c r="L84" s="26"/>
      <c r="M84" s="26"/>
      <c r="N84" s="26">
        <v>0</v>
      </c>
      <c r="O84" s="26"/>
      <c r="P84" s="26"/>
      <c r="Q84" s="23"/>
      <c r="R84" s="23"/>
      <c r="S84" s="23"/>
      <c r="T84" s="23"/>
      <c r="U84" s="23"/>
      <c r="V84" s="23"/>
      <c r="W84" s="26">
        <v>0</v>
      </c>
      <c r="X84" s="26"/>
      <c r="Y84" s="26"/>
      <c r="Z84" s="26">
        <v>0</v>
      </c>
      <c r="AA84" s="46"/>
      <c r="AB84" s="26"/>
      <c r="AC84" s="26">
        <v>150</v>
      </c>
      <c r="AD84" s="46"/>
      <c r="AE84" s="26"/>
      <c r="AF84" s="26">
        <v>0</v>
      </c>
      <c r="AG84" s="46"/>
      <c r="AH84" s="26"/>
      <c r="AI84" s="37"/>
      <c r="AJ84" s="37"/>
      <c r="AK84" s="37"/>
      <c r="AL84" s="26"/>
      <c r="AM84" s="26"/>
      <c r="AN84" s="26"/>
      <c r="AO84" s="23" t="e">
        <f>B84+E84+H84+W84+Z84+AC84+AF84+AI84+#REF!</f>
        <v>#REF!</v>
      </c>
      <c r="AP84" s="3"/>
      <c r="AQ84" s="3"/>
      <c r="AR84" s="3"/>
      <c r="AS84" s="4"/>
      <c r="AT84" s="4"/>
      <c r="AU84" s="4"/>
      <c r="AV84" s="4"/>
      <c r="AW84" s="4"/>
      <c r="AX84" s="4"/>
      <c r="AY84" s="4"/>
    </row>
    <row r="85" spans="1:51" s="5" customFormat="1" ht="14.85" hidden="1" customHeight="1" x14ac:dyDescent="0.25">
      <c r="A85" s="31" t="s">
        <v>71</v>
      </c>
      <c r="B85" s="26">
        <v>0</v>
      </c>
      <c r="C85" s="26"/>
      <c r="D85" s="26"/>
      <c r="E85" s="26">
        <v>0</v>
      </c>
      <c r="F85" s="26"/>
      <c r="G85" s="26"/>
      <c r="H85" s="26">
        <v>0</v>
      </c>
      <c r="I85" s="26"/>
      <c r="J85" s="26"/>
      <c r="K85" s="26">
        <v>0</v>
      </c>
      <c r="L85" s="26"/>
      <c r="M85" s="26"/>
      <c r="N85" s="26">
        <v>0</v>
      </c>
      <c r="O85" s="26"/>
      <c r="P85" s="26"/>
      <c r="Q85" s="23"/>
      <c r="R85" s="23"/>
      <c r="S85" s="23"/>
      <c r="T85" s="23"/>
      <c r="U85" s="23"/>
      <c r="V85" s="23"/>
      <c r="W85" s="26">
        <v>0</v>
      </c>
      <c r="X85" s="26"/>
      <c r="Y85" s="26"/>
      <c r="Z85" s="26">
        <v>0</v>
      </c>
      <c r="AA85" s="46"/>
      <c r="AB85" s="26"/>
      <c r="AC85" s="26">
        <v>0</v>
      </c>
      <c r="AD85" s="46"/>
      <c r="AE85" s="26"/>
      <c r="AF85" s="26">
        <v>0</v>
      </c>
      <c r="AG85" s="46"/>
      <c r="AH85" s="26"/>
      <c r="AI85" s="38">
        <v>0</v>
      </c>
      <c r="AJ85" s="38"/>
      <c r="AK85" s="38"/>
      <c r="AL85" s="26"/>
      <c r="AM85" s="26"/>
      <c r="AN85" s="26"/>
      <c r="AO85" s="23" t="e">
        <f>B85+E85+H85+W85+Z85+AC85+AF85+AI85+#REF!</f>
        <v>#REF!</v>
      </c>
      <c r="AP85" s="3"/>
      <c r="AQ85" s="3"/>
      <c r="AR85" s="3"/>
      <c r="AS85" s="4"/>
      <c r="AT85" s="4"/>
      <c r="AU85" s="4"/>
      <c r="AV85" s="4"/>
      <c r="AW85" s="4"/>
      <c r="AX85" s="4"/>
      <c r="AY85" s="4"/>
    </row>
    <row r="86" spans="1:51" s="5" customFormat="1" ht="14.85" hidden="1" customHeight="1" x14ac:dyDescent="0.25">
      <c r="A86" s="31" t="s">
        <v>72</v>
      </c>
      <c r="B86" s="26">
        <v>0</v>
      </c>
      <c r="C86" s="26"/>
      <c r="D86" s="26"/>
      <c r="E86" s="26">
        <v>0</v>
      </c>
      <c r="F86" s="26"/>
      <c r="G86" s="26"/>
      <c r="H86" s="26">
        <v>0</v>
      </c>
      <c r="I86" s="26"/>
      <c r="J86" s="26"/>
      <c r="K86" s="26">
        <v>0</v>
      </c>
      <c r="L86" s="26"/>
      <c r="M86" s="26"/>
      <c r="N86" s="26">
        <v>0</v>
      </c>
      <c r="O86" s="26"/>
      <c r="P86" s="26"/>
      <c r="Q86" s="23"/>
      <c r="R86" s="23"/>
      <c r="S86" s="23"/>
      <c r="T86" s="23"/>
      <c r="U86" s="23"/>
      <c r="V86" s="23"/>
      <c r="W86" s="26">
        <v>0</v>
      </c>
      <c r="X86" s="26"/>
      <c r="Y86" s="26"/>
      <c r="Z86" s="26">
        <v>0</v>
      </c>
      <c r="AA86" s="46"/>
      <c r="AB86" s="26"/>
      <c r="AC86" s="26">
        <v>0</v>
      </c>
      <c r="AD86" s="46"/>
      <c r="AE86" s="26"/>
      <c r="AF86" s="26">
        <v>0</v>
      </c>
      <c r="AG86" s="46"/>
      <c r="AH86" s="26"/>
      <c r="AI86" s="38"/>
      <c r="AJ86" s="38"/>
      <c r="AK86" s="38"/>
      <c r="AL86" s="26"/>
      <c r="AM86" s="26"/>
      <c r="AN86" s="26"/>
      <c r="AO86" s="23" t="e">
        <f>B86+E86+H86+W86+Z86+AC86+AF86+AI86+#REF!</f>
        <v>#REF!</v>
      </c>
      <c r="AP86" s="3"/>
      <c r="AQ86" s="3"/>
      <c r="AR86" s="3"/>
      <c r="AS86" s="4"/>
      <c r="AT86" s="4"/>
      <c r="AU86" s="4"/>
      <c r="AV86" s="4"/>
      <c r="AW86" s="4"/>
      <c r="AX86" s="4"/>
      <c r="AY86" s="4"/>
    </row>
    <row r="87" spans="1:51" s="5" customFormat="1" ht="14.85" hidden="1" customHeight="1" x14ac:dyDescent="0.25">
      <c r="A87" s="31" t="s">
        <v>73</v>
      </c>
      <c r="B87" s="26">
        <v>0</v>
      </c>
      <c r="C87" s="26"/>
      <c r="D87" s="26"/>
      <c r="E87" s="26">
        <v>0</v>
      </c>
      <c r="F87" s="26"/>
      <c r="G87" s="26"/>
      <c r="H87" s="26">
        <v>0</v>
      </c>
      <c r="I87" s="26"/>
      <c r="J87" s="26"/>
      <c r="K87" s="26">
        <v>0</v>
      </c>
      <c r="L87" s="26"/>
      <c r="M87" s="26"/>
      <c r="N87" s="26">
        <v>0</v>
      </c>
      <c r="O87" s="26"/>
      <c r="P87" s="26"/>
      <c r="Q87" s="23"/>
      <c r="R87" s="23"/>
      <c r="S87" s="23"/>
      <c r="T87" s="26">
        <f>H87+K87+N87</f>
        <v>0</v>
      </c>
      <c r="U87" s="26"/>
      <c r="V87" s="26"/>
      <c r="W87" s="26">
        <v>0</v>
      </c>
      <c r="X87" s="26"/>
      <c r="Y87" s="26"/>
      <c r="Z87" s="26">
        <v>0</v>
      </c>
      <c r="AA87" s="46"/>
      <c r="AB87" s="26"/>
      <c r="AC87" s="26">
        <v>0</v>
      </c>
      <c r="AD87" s="46"/>
      <c r="AE87" s="26"/>
      <c r="AF87" s="26">
        <v>0</v>
      </c>
      <c r="AG87" s="46"/>
      <c r="AH87" s="26"/>
      <c r="AI87" s="38"/>
      <c r="AJ87" s="38"/>
      <c r="AK87" s="38"/>
      <c r="AL87" s="26"/>
      <c r="AM87" s="26"/>
      <c r="AN87" s="26"/>
      <c r="AO87" s="23" t="e">
        <f>B87+E87+H87+W87+Z87+AC87+AF87+AI87+#REF!</f>
        <v>#REF!</v>
      </c>
      <c r="AP87" s="3"/>
      <c r="AQ87" s="3"/>
      <c r="AR87" s="3"/>
      <c r="AS87" s="4"/>
      <c r="AT87" s="4"/>
      <c r="AU87" s="4"/>
      <c r="AV87" s="4"/>
      <c r="AW87" s="4"/>
      <c r="AX87" s="4"/>
      <c r="AY87" s="4"/>
    </row>
    <row r="88" spans="1:51" s="5" customFormat="1" ht="14.85" hidden="1" customHeight="1" x14ac:dyDescent="0.25">
      <c r="A88" s="31" t="s">
        <v>109</v>
      </c>
      <c r="B88" s="26">
        <v>0</v>
      </c>
      <c r="C88" s="26"/>
      <c r="D88" s="26">
        <v>95668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3"/>
      <c r="R88" s="23"/>
      <c r="S88" s="23"/>
      <c r="T88" s="26"/>
      <c r="U88" s="26"/>
      <c r="V88" s="26"/>
      <c r="W88" s="26"/>
      <c r="X88" s="26"/>
      <c r="Y88" s="26"/>
      <c r="Z88" s="26"/>
      <c r="AA88" s="46"/>
      <c r="AB88" s="26"/>
      <c r="AC88" s="26"/>
      <c r="AD88" s="46"/>
      <c r="AE88" s="26"/>
      <c r="AF88" s="26"/>
      <c r="AG88" s="46"/>
      <c r="AH88" s="26"/>
      <c r="AI88" s="38"/>
      <c r="AJ88" s="38"/>
      <c r="AK88" s="38"/>
      <c r="AL88" s="26"/>
      <c r="AM88" s="26"/>
      <c r="AN88" s="26"/>
      <c r="AO88" s="23"/>
      <c r="AP88" s="3"/>
      <c r="AQ88" s="3"/>
      <c r="AR88" s="3"/>
      <c r="AS88" s="4"/>
      <c r="AT88" s="4"/>
      <c r="AU88" s="4"/>
      <c r="AV88" s="4"/>
      <c r="AW88" s="4"/>
      <c r="AX88" s="4"/>
      <c r="AY88" s="4"/>
    </row>
    <row r="89" spans="1:51" s="5" customFormat="1" ht="14.85" hidden="1" customHeight="1" x14ac:dyDescent="0.25">
      <c r="A89" s="31" t="s">
        <v>75</v>
      </c>
      <c r="B89" s="26">
        <v>0</v>
      </c>
      <c r="C89" s="26"/>
      <c r="D89" s="26"/>
      <c r="E89" s="26">
        <v>0</v>
      </c>
      <c r="F89" s="26"/>
      <c r="G89" s="26"/>
      <c r="H89" s="26">
        <v>0</v>
      </c>
      <c r="I89" s="26"/>
      <c r="J89" s="26"/>
      <c r="K89" s="26">
        <v>0</v>
      </c>
      <c r="L89" s="26"/>
      <c r="M89" s="26"/>
      <c r="N89" s="26">
        <v>0</v>
      </c>
      <c r="O89" s="26"/>
      <c r="P89" s="26"/>
      <c r="Q89" s="23"/>
      <c r="R89" s="23"/>
      <c r="S89" s="23"/>
      <c r="T89" s="23"/>
      <c r="U89" s="23"/>
      <c r="V89" s="23"/>
      <c r="W89" s="26">
        <v>0</v>
      </c>
      <c r="X89" s="26"/>
      <c r="Y89" s="26"/>
      <c r="Z89" s="26">
        <v>0</v>
      </c>
      <c r="AA89" s="46"/>
      <c r="AB89" s="26"/>
      <c r="AC89" s="26">
        <v>0</v>
      </c>
      <c r="AD89" s="46"/>
      <c r="AE89" s="26"/>
      <c r="AF89" s="26">
        <v>0</v>
      </c>
      <c r="AG89" s="46"/>
      <c r="AH89" s="26"/>
      <c r="AI89" s="38"/>
      <c r="AJ89" s="38"/>
      <c r="AK89" s="38"/>
      <c r="AL89" s="26"/>
      <c r="AM89" s="26"/>
      <c r="AN89" s="26"/>
      <c r="AO89" s="23" t="e">
        <f>B89+E89+H89+W89+Z89+AC89+AF89+AI89+#REF!</f>
        <v>#REF!</v>
      </c>
      <c r="AP89" s="3"/>
      <c r="AQ89" s="3"/>
      <c r="AR89" s="3"/>
      <c r="AS89" s="4"/>
      <c r="AT89" s="4"/>
      <c r="AU89" s="4"/>
      <c r="AV89" s="4"/>
      <c r="AW89" s="4"/>
      <c r="AX89" s="4"/>
      <c r="AY89" s="4"/>
    </row>
    <row r="90" spans="1:51" s="5" customFormat="1" ht="14.85" hidden="1" customHeight="1" x14ac:dyDescent="0.25">
      <c r="A90" s="31" t="s">
        <v>76</v>
      </c>
      <c r="B90" s="26">
        <v>0</v>
      </c>
      <c r="C90" s="26"/>
      <c r="D90" s="26"/>
      <c r="E90" s="26">
        <v>0</v>
      </c>
      <c r="F90" s="26"/>
      <c r="G90" s="26"/>
      <c r="H90" s="26">
        <v>0</v>
      </c>
      <c r="I90" s="26"/>
      <c r="J90" s="26"/>
      <c r="K90" s="26">
        <v>0</v>
      </c>
      <c r="L90" s="26"/>
      <c r="M90" s="26"/>
      <c r="N90" s="26">
        <v>0</v>
      </c>
      <c r="O90" s="26"/>
      <c r="P90" s="26"/>
      <c r="Q90" s="23"/>
      <c r="R90" s="23"/>
      <c r="S90" s="23"/>
      <c r="T90" s="23"/>
      <c r="U90" s="23"/>
      <c r="V90" s="23"/>
      <c r="W90" s="26">
        <v>0</v>
      </c>
      <c r="X90" s="26"/>
      <c r="Y90" s="26"/>
      <c r="Z90" s="26">
        <v>0</v>
      </c>
      <c r="AA90" s="46"/>
      <c r="AB90" s="26"/>
      <c r="AC90" s="26">
        <v>0</v>
      </c>
      <c r="AD90" s="46"/>
      <c r="AE90" s="26"/>
      <c r="AF90" s="26">
        <v>0</v>
      </c>
      <c r="AG90" s="46"/>
      <c r="AH90" s="26"/>
      <c r="AI90" s="38"/>
      <c r="AJ90" s="38"/>
      <c r="AK90" s="38"/>
      <c r="AL90" s="26"/>
      <c r="AM90" s="26"/>
      <c r="AN90" s="26"/>
      <c r="AO90" s="23" t="e">
        <f>B90+E90+H90+W90+Z90+AC90+AF90+AI90+#REF!</f>
        <v>#REF!</v>
      </c>
      <c r="AP90" s="3"/>
      <c r="AQ90" s="3"/>
      <c r="AR90" s="3"/>
      <c r="AS90" s="4"/>
      <c r="AT90" s="4"/>
      <c r="AU90" s="4"/>
      <c r="AV90" s="4"/>
      <c r="AW90" s="4"/>
      <c r="AX90" s="4"/>
      <c r="AY90" s="4"/>
    </row>
    <row r="91" spans="1:51" s="5" customFormat="1" ht="14.85" hidden="1" customHeight="1" x14ac:dyDescent="0.25">
      <c r="A91" s="31" t="s">
        <v>77</v>
      </c>
      <c r="B91" s="26">
        <v>0</v>
      </c>
      <c r="C91" s="26"/>
      <c r="D91" s="26"/>
      <c r="E91" s="26">
        <v>0</v>
      </c>
      <c r="F91" s="26"/>
      <c r="G91" s="26"/>
      <c r="H91" s="26">
        <v>0</v>
      </c>
      <c r="I91" s="26"/>
      <c r="J91" s="26"/>
      <c r="K91" s="26">
        <v>0</v>
      </c>
      <c r="L91" s="26"/>
      <c r="M91" s="26"/>
      <c r="N91" s="26">
        <v>0</v>
      </c>
      <c r="O91" s="26"/>
      <c r="P91" s="26"/>
      <c r="Q91" s="23"/>
      <c r="R91" s="23"/>
      <c r="S91" s="23"/>
      <c r="T91" s="23"/>
      <c r="U91" s="23"/>
      <c r="V91" s="23"/>
      <c r="W91" s="26">
        <v>0</v>
      </c>
      <c r="X91" s="26"/>
      <c r="Y91" s="26"/>
      <c r="Z91" s="26">
        <v>0</v>
      </c>
      <c r="AA91" s="46"/>
      <c r="AB91" s="26"/>
      <c r="AC91" s="26">
        <v>0</v>
      </c>
      <c r="AD91" s="46"/>
      <c r="AE91" s="26"/>
      <c r="AF91" s="26">
        <v>0</v>
      </c>
      <c r="AG91" s="46"/>
      <c r="AH91" s="26"/>
      <c r="AI91" s="38"/>
      <c r="AJ91" s="38"/>
      <c r="AK91" s="38"/>
      <c r="AL91" s="26"/>
      <c r="AM91" s="26"/>
      <c r="AN91" s="26"/>
      <c r="AO91" s="23" t="e">
        <f>B91+E91+H91+W91+Z91+AC91+AF91+AI91+#REF!</f>
        <v>#REF!</v>
      </c>
      <c r="AP91" s="3"/>
      <c r="AQ91" s="3"/>
      <c r="AR91" s="3"/>
      <c r="AS91" s="4"/>
      <c r="AT91" s="4"/>
      <c r="AU91" s="4"/>
      <c r="AV91" s="4"/>
      <c r="AW91" s="4"/>
      <c r="AX91" s="4"/>
      <c r="AY91" s="4"/>
    </row>
    <row r="92" spans="1:51" s="5" customFormat="1" ht="14.85" hidden="1" customHeight="1" x14ac:dyDescent="0.25">
      <c r="A92" s="31" t="s">
        <v>78</v>
      </c>
      <c r="B92" s="26">
        <v>0</v>
      </c>
      <c r="C92" s="26"/>
      <c r="D92" s="26"/>
      <c r="E92" s="26">
        <v>0</v>
      </c>
      <c r="F92" s="26"/>
      <c r="G92" s="26"/>
      <c r="H92" s="26">
        <v>0</v>
      </c>
      <c r="I92" s="26"/>
      <c r="J92" s="26"/>
      <c r="K92" s="26">
        <v>0</v>
      </c>
      <c r="L92" s="26"/>
      <c r="M92" s="26"/>
      <c r="N92" s="26">
        <v>0</v>
      </c>
      <c r="O92" s="26"/>
      <c r="P92" s="26"/>
      <c r="Q92" s="23"/>
      <c r="R92" s="23"/>
      <c r="S92" s="23"/>
      <c r="T92" s="23"/>
      <c r="U92" s="23"/>
      <c r="V92" s="23"/>
      <c r="W92" s="26">
        <v>0</v>
      </c>
      <c r="X92" s="26"/>
      <c r="Y92" s="26"/>
      <c r="Z92" s="26">
        <v>0</v>
      </c>
      <c r="AA92" s="46"/>
      <c r="AB92" s="26"/>
      <c r="AC92" s="26">
        <v>0</v>
      </c>
      <c r="AD92" s="46"/>
      <c r="AE92" s="26"/>
      <c r="AF92" s="26">
        <v>0</v>
      </c>
      <c r="AG92" s="46"/>
      <c r="AH92" s="26"/>
      <c r="AI92" s="38"/>
      <c r="AJ92" s="38"/>
      <c r="AK92" s="38"/>
      <c r="AL92" s="26"/>
      <c r="AM92" s="26"/>
      <c r="AN92" s="26"/>
      <c r="AO92" s="23" t="e">
        <f>B92+E92+H92+W92+Z92+AC92+AF92+AI92+#REF!</f>
        <v>#REF!</v>
      </c>
      <c r="AP92" s="3"/>
      <c r="AQ92" s="3"/>
      <c r="AR92" s="3"/>
      <c r="AS92" s="4"/>
      <c r="AT92" s="4"/>
      <c r="AU92" s="4"/>
      <c r="AV92" s="4"/>
      <c r="AW92" s="4"/>
      <c r="AX92" s="4"/>
      <c r="AY92" s="4"/>
    </row>
    <row r="93" spans="1:51" s="5" customFormat="1" ht="14.85" hidden="1" customHeight="1" x14ac:dyDescent="0.25">
      <c r="A93" s="31" t="s">
        <v>79</v>
      </c>
      <c r="B93" s="26">
        <v>0</v>
      </c>
      <c r="C93" s="26"/>
      <c r="D93" s="26"/>
      <c r="E93" s="26">
        <v>0</v>
      </c>
      <c r="F93" s="26"/>
      <c r="G93" s="26"/>
      <c r="H93" s="26">
        <v>0</v>
      </c>
      <c r="I93" s="26"/>
      <c r="J93" s="26"/>
      <c r="K93" s="26">
        <v>0</v>
      </c>
      <c r="L93" s="26"/>
      <c r="M93" s="26"/>
      <c r="N93" s="26">
        <v>0</v>
      </c>
      <c r="O93" s="26"/>
      <c r="P93" s="26"/>
      <c r="Q93" s="23"/>
      <c r="R93" s="23"/>
      <c r="S93" s="23"/>
      <c r="T93" s="23"/>
      <c r="U93" s="23"/>
      <c r="V93" s="23"/>
      <c r="W93" s="26">
        <v>0</v>
      </c>
      <c r="X93" s="26"/>
      <c r="Y93" s="26"/>
      <c r="Z93" s="26">
        <v>0</v>
      </c>
      <c r="AA93" s="46"/>
      <c r="AB93" s="26"/>
      <c r="AC93" s="26">
        <v>0</v>
      </c>
      <c r="AD93" s="46"/>
      <c r="AE93" s="26"/>
      <c r="AF93" s="26">
        <v>0</v>
      </c>
      <c r="AG93" s="46"/>
      <c r="AH93" s="26"/>
      <c r="AI93" s="36">
        <v>0</v>
      </c>
      <c r="AJ93" s="36"/>
      <c r="AK93" s="36"/>
      <c r="AL93" s="26"/>
      <c r="AM93" s="26"/>
      <c r="AN93" s="26"/>
      <c r="AO93" s="23" t="e">
        <f>B93+E93+H93+W93+Z93+AC93+AF93+AI93+#REF!</f>
        <v>#REF!</v>
      </c>
      <c r="AP93" s="3"/>
      <c r="AQ93" s="3"/>
      <c r="AR93" s="3"/>
      <c r="AS93" s="4"/>
      <c r="AT93" s="4"/>
      <c r="AU93" s="4"/>
      <c r="AV93" s="4"/>
      <c r="AW93" s="4"/>
      <c r="AX93" s="4"/>
      <c r="AY93" s="4"/>
    </row>
    <row r="94" spans="1:51" s="5" customFormat="1" ht="14.85" hidden="1" customHeight="1" x14ac:dyDescent="0.25">
      <c r="A94" s="31" t="s">
        <v>74</v>
      </c>
      <c r="B94" s="26">
        <v>0</v>
      </c>
      <c r="C94" s="26"/>
      <c r="D94" s="26"/>
      <c r="E94" s="26">
        <v>0</v>
      </c>
      <c r="F94" s="26"/>
      <c r="G94" s="26">
        <v>2366</v>
      </c>
      <c r="H94" s="26">
        <v>0</v>
      </c>
      <c r="I94" s="26"/>
      <c r="J94" s="26">
        <v>322</v>
      </c>
      <c r="K94" s="26">
        <v>0</v>
      </c>
      <c r="L94" s="26"/>
      <c r="M94" s="26"/>
      <c r="N94" s="26">
        <v>0</v>
      </c>
      <c r="O94" s="26"/>
      <c r="P94" s="26"/>
      <c r="Q94" s="23"/>
      <c r="R94" s="23"/>
      <c r="S94" s="23"/>
      <c r="T94" s="23"/>
      <c r="U94" s="23"/>
      <c r="V94" s="23"/>
      <c r="W94" s="26">
        <v>0</v>
      </c>
      <c r="X94" s="26"/>
      <c r="Y94" s="26"/>
      <c r="Z94" s="26">
        <v>0</v>
      </c>
      <c r="AA94" s="46"/>
      <c r="AB94" s="26">
        <v>716</v>
      </c>
      <c r="AC94" s="26">
        <v>0</v>
      </c>
      <c r="AD94" s="46"/>
      <c r="AE94" s="26">
        <v>299</v>
      </c>
      <c r="AF94" s="26">
        <v>0</v>
      </c>
      <c r="AG94" s="46"/>
      <c r="AH94" s="26">
        <v>131</v>
      </c>
      <c r="AI94" s="37">
        <v>0</v>
      </c>
      <c r="AJ94" s="37"/>
      <c r="AK94" s="37"/>
      <c r="AL94" s="26"/>
      <c r="AM94" s="26"/>
      <c r="AN94" s="26"/>
      <c r="AO94" s="23" t="e">
        <f>B94+E94+H94+W94+Z94+AC94+AF94+AI94+#REF!</f>
        <v>#REF!</v>
      </c>
      <c r="AP94" s="3"/>
      <c r="AQ94" s="3"/>
      <c r="AR94" s="3"/>
      <c r="AS94" s="4"/>
      <c r="AT94" s="4"/>
      <c r="AU94" s="4"/>
      <c r="AV94" s="4"/>
      <c r="AW94" s="4"/>
      <c r="AX94" s="4"/>
      <c r="AY94" s="4"/>
    </row>
    <row r="95" spans="1:51" s="5" customFormat="1" ht="14.85" hidden="1" customHeight="1" x14ac:dyDescent="0.25">
      <c r="A95" s="31" t="s">
        <v>110</v>
      </c>
      <c r="B95" s="26">
        <v>0</v>
      </c>
      <c r="C95" s="26"/>
      <c r="D95" s="26">
        <v>10655</v>
      </c>
      <c r="E95" s="26">
        <v>0</v>
      </c>
      <c r="F95" s="26"/>
      <c r="G95" s="26">
        <v>5037</v>
      </c>
      <c r="H95" s="26">
        <v>0</v>
      </c>
      <c r="I95" s="26"/>
      <c r="J95" s="26">
        <v>4444</v>
      </c>
      <c r="K95" s="26">
        <v>0</v>
      </c>
      <c r="L95" s="26"/>
      <c r="M95" s="26">
        <v>11764</v>
      </c>
      <c r="N95" s="26">
        <v>0</v>
      </c>
      <c r="O95" s="26"/>
      <c r="P95" s="26">
        <v>1736</v>
      </c>
      <c r="Q95" s="23"/>
      <c r="R95" s="23"/>
      <c r="S95" s="23">
        <v>1421</v>
      </c>
      <c r="T95" s="23"/>
      <c r="U95" s="23"/>
      <c r="V95" s="23">
        <v>14921</v>
      </c>
      <c r="W95" s="26">
        <v>0</v>
      </c>
      <c r="X95" s="26"/>
      <c r="Y95" s="26">
        <v>14921</v>
      </c>
      <c r="Z95" s="26">
        <v>0</v>
      </c>
      <c r="AA95" s="46"/>
      <c r="AB95" s="26">
        <v>15121</v>
      </c>
      <c r="AC95" s="26">
        <v>0</v>
      </c>
      <c r="AD95" s="46"/>
      <c r="AE95" s="26">
        <v>4478</v>
      </c>
      <c r="AF95" s="26">
        <v>0</v>
      </c>
      <c r="AG95" s="46"/>
      <c r="AH95" s="26">
        <v>1772</v>
      </c>
      <c r="AI95" s="37">
        <v>0</v>
      </c>
      <c r="AJ95" s="37"/>
      <c r="AK95" s="37">
        <v>8743</v>
      </c>
      <c r="AL95" s="26"/>
      <c r="AM95" s="26"/>
      <c r="AN95" s="26"/>
      <c r="AO95" s="23" t="e">
        <f>B95+E95+H95+W95+Z95+AC95+AF95+AI95+#REF!</f>
        <v>#REF!</v>
      </c>
      <c r="AP95" s="3"/>
      <c r="AQ95" s="3"/>
      <c r="AR95" s="3"/>
      <c r="AS95" s="4"/>
      <c r="AT95" s="4"/>
      <c r="AU95" s="4"/>
      <c r="AV95" s="4"/>
      <c r="AW95" s="4"/>
      <c r="AX95" s="4"/>
      <c r="AY95" s="4"/>
    </row>
    <row r="96" spans="1:51" s="5" customFormat="1" ht="14.85" hidden="1" customHeight="1" x14ac:dyDescent="0.25">
      <c r="A96" s="31" t="s">
        <v>80</v>
      </c>
      <c r="B96" s="26">
        <v>0</v>
      </c>
      <c r="C96" s="26"/>
      <c r="D96" s="26"/>
      <c r="E96" s="26">
        <v>0</v>
      </c>
      <c r="F96" s="26"/>
      <c r="G96" s="26"/>
      <c r="H96" s="26">
        <v>0</v>
      </c>
      <c r="I96" s="26"/>
      <c r="J96" s="26"/>
      <c r="K96" s="26">
        <v>0</v>
      </c>
      <c r="L96" s="26"/>
      <c r="M96" s="26"/>
      <c r="N96" s="26">
        <v>0</v>
      </c>
      <c r="O96" s="26"/>
      <c r="P96" s="26"/>
      <c r="Q96" s="23"/>
      <c r="R96" s="23"/>
      <c r="S96" s="23"/>
      <c r="T96" s="23"/>
      <c r="U96" s="23"/>
      <c r="V96" s="23"/>
      <c r="W96" s="26">
        <v>0</v>
      </c>
      <c r="X96" s="26"/>
      <c r="Y96" s="26"/>
      <c r="Z96" s="26">
        <v>0</v>
      </c>
      <c r="AA96" s="46"/>
      <c r="AB96" s="26"/>
      <c r="AC96" s="26">
        <v>0</v>
      </c>
      <c r="AD96" s="46"/>
      <c r="AE96" s="26"/>
      <c r="AF96" s="26">
        <v>0</v>
      </c>
      <c r="AG96" s="46"/>
      <c r="AH96" s="26"/>
      <c r="AI96" s="38"/>
      <c r="AJ96" s="38"/>
      <c r="AK96" s="38"/>
      <c r="AL96" s="26"/>
      <c r="AM96" s="26"/>
      <c r="AN96" s="26"/>
      <c r="AO96" s="23" t="e">
        <f>B96+E96+H96+W96+Z96+AC96+AF96+AI96+#REF!</f>
        <v>#REF!</v>
      </c>
      <c r="AP96" s="3"/>
      <c r="AQ96" s="3"/>
      <c r="AR96" s="3"/>
      <c r="AS96" s="4"/>
      <c r="AT96" s="4"/>
      <c r="AU96" s="4"/>
      <c r="AV96" s="4"/>
      <c r="AW96" s="4"/>
      <c r="AX96" s="4"/>
      <c r="AY96" s="4"/>
    </row>
    <row r="97" spans="1:51" s="5" customFormat="1" ht="14.85" hidden="1" customHeight="1" x14ac:dyDescent="0.25">
      <c r="A97" s="37" t="s">
        <v>81</v>
      </c>
      <c r="B97" s="25"/>
      <c r="C97" s="25"/>
      <c r="D97" s="25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47"/>
      <c r="AB97" s="37"/>
      <c r="AC97" s="38"/>
      <c r="AD97" s="53"/>
      <c r="AE97" s="38"/>
      <c r="AF97" s="37"/>
      <c r="AG97" s="47"/>
      <c r="AH97" s="37"/>
      <c r="AI97" s="38"/>
      <c r="AJ97" s="38"/>
      <c r="AK97" s="38"/>
      <c r="AL97" s="37"/>
      <c r="AM97" s="37"/>
      <c r="AN97" s="37"/>
      <c r="AO97" s="37"/>
      <c r="AS97" s="4"/>
      <c r="AT97" s="4"/>
      <c r="AU97" s="4"/>
      <c r="AV97" s="4"/>
      <c r="AW97" s="4"/>
      <c r="AX97" s="4"/>
      <c r="AY97" s="4"/>
    </row>
    <row r="98" spans="1:51" s="17" customFormat="1" ht="14.85" hidden="1" customHeight="1" x14ac:dyDescent="0.25">
      <c r="A98" s="28" t="s">
        <v>82</v>
      </c>
      <c r="B98" s="26">
        <f>SUM(B99:B109)</f>
        <v>0</v>
      </c>
      <c r="C98" s="26"/>
      <c r="D98" s="26"/>
      <c r="E98" s="26">
        <f>SUM(E99:E109)</f>
        <v>500</v>
      </c>
      <c r="F98" s="26"/>
      <c r="G98" s="26"/>
      <c r="H98" s="26">
        <f>SUM(H99:H109)</f>
        <v>0</v>
      </c>
      <c r="I98" s="26"/>
      <c r="J98" s="26"/>
      <c r="K98" s="26">
        <f>SUM(K99:K109)</f>
        <v>0</v>
      </c>
      <c r="L98" s="26"/>
      <c r="M98" s="26"/>
      <c r="N98" s="26">
        <f>SUM(N99:N109)</f>
        <v>0</v>
      </c>
      <c r="O98" s="26"/>
      <c r="P98" s="26"/>
      <c r="Q98" s="26"/>
      <c r="R98" s="26"/>
      <c r="S98" s="26"/>
      <c r="T98" s="26">
        <f>SUM(T99:T109)</f>
        <v>0</v>
      </c>
      <c r="U98" s="26"/>
      <c r="V98" s="26"/>
      <c r="W98" s="26">
        <f>SUM(W99:W109)</f>
        <v>0</v>
      </c>
      <c r="X98" s="26"/>
      <c r="Y98" s="26"/>
      <c r="Z98" s="26">
        <v>0</v>
      </c>
      <c r="AA98" s="46"/>
      <c r="AB98" s="26"/>
      <c r="AC98" s="26">
        <f>SUM(AC99:AC109)</f>
        <v>0</v>
      </c>
      <c r="AD98" s="46"/>
      <c r="AE98" s="26"/>
      <c r="AF98" s="26">
        <f>SUM(AF99:AF109)</f>
        <v>0</v>
      </c>
      <c r="AG98" s="46"/>
      <c r="AH98" s="26"/>
      <c r="AI98" s="38"/>
      <c r="AJ98" s="38"/>
      <c r="AK98" s="38"/>
      <c r="AL98" s="26"/>
      <c r="AM98" s="26"/>
      <c r="AN98" s="26"/>
      <c r="AO98" s="26" t="e">
        <f>SUM(AO99:AO109)</f>
        <v>#REF!</v>
      </c>
      <c r="AP98" s="15"/>
      <c r="AQ98" s="15"/>
      <c r="AR98" s="15"/>
      <c r="AS98" s="16"/>
      <c r="AT98" s="16"/>
      <c r="AU98" s="16"/>
      <c r="AV98" s="16"/>
      <c r="AW98" s="16"/>
      <c r="AX98" s="16"/>
      <c r="AY98" s="16"/>
    </row>
    <row r="99" spans="1:51" s="34" customFormat="1" ht="14.85" hidden="1" customHeight="1" x14ac:dyDescent="0.25">
      <c r="A99" s="31" t="s">
        <v>69</v>
      </c>
      <c r="B99" s="26">
        <v>0</v>
      </c>
      <c r="C99" s="26"/>
      <c r="D99" s="26"/>
      <c r="E99" s="26"/>
      <c r="F99" s="26"/>
      <c r="G99" s="26"/>
      <c r="H99" s="26">
        <v>0</v>
      </c>
      <c r="I99" s="26"/>
      <c r="J99" s="26"/>
      <c r="K99" s="26">
        <v>0</v>
      </c>
      <c r="L99" s="26"/>
      <c r="M99" s="26"/>
      <c r="N99" s="26">
        <v>0</v>
      </c>
      <c r="O99" s="26"/>
      <c r="P99" s="26"/>
      <c r="Q99" s="26"/>
      <c r="R99" s="26"/>
      <c r="S99" s="26"/>
      <c r="T99" s="26"/>
      <c r="U99" s="26"/>
      <c r="V99" s="26"/>
      <c r="W99" s="26">
        <v>0</v>
      </c>
      <c r="X99" s="26"/>
      <c r="Y99" s="26"/>
      <c r="Z99" s="26">
        <v>0</v>
      </c>
      <c r="AA99" s="46"/>
      <c r="AB99" s="26"/>
      <c r="AC99" s="26">
        <v>0</v>
      </c>
      <c r="AD99" s="46"/>
      <c r="AE99" s="26"/>
      <c r="AF99" s="26">
        <v>0</v>
      </c>
      <c r="AG99" s="46"/>
      <c r="AH99" s="26"/>
      <c r="AI99" s="38">
        <v>0</v>
      </c>
      <c r="AJ99" s="38"/>
      <c r="AK99" s="38"/>
      <c r="AL99" s="26"/>
      <c r="AM99" s="26"/>
      <c r="AN99" s="26"/>
      <c r="AO99" s="23" t="e">
        <f>B99+E99+H99+W99+Z99+AC99+AF99+AI99+#REF!</f>
        <v>#REF!</v>
      </c>
      <c r="AP99" s="3"/>
      <c r="AQ99" s="3"/>
      <c r="AR99" s="3"/>
      <c r="AS99" s="4"/>
      <c r="AT99" s="4"/>
      <c r="AU99" s="4"/>
      <c r="AV99" s="4"/>
      <c r="AW99" s="4"/>
      <c r="AX99" s="4"/>
      <c r="AY99" s="4"/>
    </row>
    <row r="100" spans="1:51" s="34" customFormat="1" ht="14.85" hidden="1" customHeight="1" x14ac:dyDescent="0.25">
      <c r="A100" s="31" t="s">
        <v>83</v>
      </c>
      <c r="B100" s="26">
        <v>0</v>
      </c>
      <c r="C100" s="26"/>
      <c r="D100" s="26"/>
      <c r="E100" s="26">
        <v>500</v>
      </c>
      <c r="F100" s="26"/>
      <c r="G100" s="26"/>
      <c r="H100" s="26">
        <v>0</v>
      </c>
      <c r="I100" s="26"/>
      <c r="J100" s="26"/>
      <c r="K100" s="26">
        <v>0</v>
      </c>
      <c r="L100" s="26"/>
      <c r="M100" s="26"/>
      <c r="N100" s="26">
        <v>0</v>
      </c>
      <c r="O100" s="26"/>
      <c r="P100" s="26"/>
      <c r="Q100" s="26"/>
      <c r="R100" s="26"/>
      <c r="S100" s="26"/>
      <c r="T100" s="26"/>
      <c r="U100" s="26"/>
      <c r="V100" s="26"/>
      <c r="W100" s="26">
        <v>0</v>
      </c>
      <c r="X100" s="26"/>
      <c r="Y100" s="26"/>
      <c r="Z100" s="26">
        <v>0</v>
      </c>
      <c r="AA100" s="46"/>
      <c r="AB100" s="26"/>
      <c r="AC100" s="26"/>
      <c r="AD100" s="46"/>
      <c r="AE100" s="26"/>
      <c r="AF100" s="26">
        <v>0</v>
      </c>
      <c r="AG100" s="46"/>
      <c r="AH100" s="26"/>
      <c r="AI100" s="32">
        <v>0</v>
      </c>
      <c r="AJ100" s="32"/>
      <c r="AK100" s="32"/>
      <c r="AL100" s="26"/>
      <c r="AM100" s="26"/>
      <c r="AN100" s="26"/>
      <c r="AO100" s="23" t="e">
        <f>B100+E100+H100+W100+Z100+AC100+AF100+AI100+#REF!</f>
        <v>#REF!</v>
      </c>
      <c r="AP100" s="3"/>
      <c r="AQ100" s="3"/>
      <c r="AR100" s="3"/>
      <c r="AS100" s="4"/>
      <c r="AT100" s="4"/>
      <c r="AU100" s="4"/>
      <c r="AV100" s="4"/>
      <c r="AW100" s="4"/>
      <c r="AX100" s="4"/>
      <c r="AY100" s="4"/>
    </row>
    <row r="101" spans="1:51" s="5" customFormat="1" ht="14.85" hidden="1" customHeight="1" x14ac:dyDescent="0.25">
      <c r="A101" s="31" t="s">
        <v>84</v>
      </c>
      <c r="B101" s="26">
        <v>0</v>
      </c>
      <c r="C101" s="26"/>
      <c r="D101" s="26"/>
      <c r="E101" s="23"/>
      <c r="F101" s="23"/>
      <c r="G101" s="23"/>
      <c r="H101" s="26">
        <v>0</v>
      </c>
      <c r="I101" s="26"/>
      <c r="J101" s="26"/>
      <c r="K101" s="26">
        <v>0</v>
      </c>
      <c r="L101" s="26"/>
      <c r="M101" s="26"/>
      <c r="N101" s="26">
        <v>0</v>
      </c>
      <c r="O101" s="26"/>
      <c r="P101" s="26"/>
      <c r="Q101" s="23"/>
      <c r="R101" s="23"/>
      <c r="S101" s="23"/>
      <c r="T101" s="23"/>
      <c r="U101" s="23"/>
      <c r="V101" s="23"/>
      <c r="W101" s="26">
        <v>0</v>
      </c>
      <c r="X101" s="26"/>
      <c r="Y101" s="26"/>
      <c r="Z101" s="26">
        <v>0</v>
      </c>
      <c r="AA101" s="46"/>
      <c r="AB101" s="26"/>
      <c r="AC101" s="26">
        <v>0</v>
      </c>
      <c r="AD101" s="46"/>
      <c r="AE101" s="26"/>
      <c r="AF101" s="26">
        <v>0</v>
      </c>
      <c r="AG101" s="46"/>
      <c r="AH101" s="26"/>
      <c r="AI101" s="26">
        <v>0</v>
      </c>
      <c r="AJ101" s="26"/>
      <c r="AK101" s="26"/>
      <c r="AL101" s="26"/>
      <c r="AM101" s="26"/>
      <c r="AN101" s="26"/>
      <c r="AO101" s="23" t="e">
        <f>B101+E101+H101+W101+Z101+AC101+AF101+AI101+#REF!</f>
        <v>#REF!</v>
      </c>
      <c r="AP101" s="3"/>
      <c r="AQ101" s="3"/>
      <c r="AR101" s="3"/>
      <c r="AS101" s="4"/>
      <c r="AT101" s="4"/>
      <c r="AU101" s="4"/>
      <c r="AV101" s="4"/>
      <c r="AW101" s="4"/>
      <c r="AX101" s="4"/>
      <c r="AY101" s="4"/>
    </row>
    <row r="102" spans="1:51" s="5" customFormat="1" ht="14.85" hidden="1" customHeight="1" x14ac:dyDescent="0.25">
      <c r="A102" s="31" t="s">
        <v>85</v>
      </c>
      <c r="B102" s="26">
        <v>0</v>
      </c>
      <c r="C102" s="26"/>
      <c r="D102" s="26"/>
      <c r="E102" s="23"/>
      <c r="F102" s="23"/>
      <c r="G102" s="23"/>
      <c r="H102" s="26">
        <v>0</v>
      </c>
      <c r="I102" s="26"/>
      <c r="J102" s="26"/>
      <c r="K102" s="26">
        <v>0</v>
      </c>
      <c r="L102" s="26"/>
      <c r="M102" s="26"/>
      <c r="N102" s="26">
        <v>0</v>
      </c>
      <c r="O102" s="26"/>
      <c r="P102" s="26"/>
      <c r="Q102" s="23"/>
      <c r="R102" s="23"/>
      <c r="S102" s="23"/>
      <c r="T102" s="23"/>
      <c r="U102" s="23"/>
      <c r="V102" s="23"/>
      <c r="W102" s="26">
        <v>0</v>
      </c>
      <c r="X102" s="26"/>
      <c r="Y102" s="26"/>
      <c r="Z102" s="26">
        <v>0</v>
      </c>
      <c r="AA102" s="46"/>
      <c r="AB102" s="26"/>
      <c r="AC102" s="26">
        <v>0</v>
      </c>
      <c r="AD102" s="46"/>
      <c r="AE102" s="26"/>
      <c r="AF102" s="26">
        <v>0</v>
      </c>
      <c r="AG102" s="46"/>
      <c r="AH102" s="26"/>
      <c r="AI102" s="26">
        <v>0</v>
      </c>
      <c r="AJ102" s="26"/>
      <c r="AK102" s="26"/>
      <c r="AL102" s="26"/>
      <c r="AM102" s="26"/>
      <c r="AN102" s="26"/>
      <c r="AO102" s="23" t="e">
        <f>B102+E102+H102+W102+Z102+AC102+AF102+AI102+#REF!</f>
        <v>#REF!</v>
      </c>
      <c r="AP102" s="3"/>
      <c r="AQ102" s="3"/>
      <c r="AR102" s="3"/>
      <c r="AS102" s="4"/>
      <c r="AT102" s="4"/>
      <c r="AU102" s="4"/>
      <c r="AV102" s="4"/>
      <c r="AW102" s="4"/>
      <c r="AX102" s="4"/>
      <c r="AY102" s="4"/>
    </row>
    <row r="103" spans="1:51" s="5" customFormat="1" ht="14.85" hidden="1" customHeight="1" x14ac:dyDescent="0.25">
      <c r="A103" s="31" t="s">
        <v>86</v>
      </c>
      <c r="B103" s="26">
        <v>0</v>
      </c>
      <c r="C103" s="26"/>
      <c r="D103" s="26"/>
      <c r="E103" s="23"/>
      <c r="F103" s="23"/>
      <c r="G103" s="23"/>
      <c r="H103" s="26">
        <v>0</v>
      </c>
      <c r="I103" s="26"/>
      <c r="J103" s="26"/>
      <c r="K103" s="26">
        <v>0</v>
      </c>
      <c r="L103" s="26"/>
      <c r="M103" s="26"/>
      <c r="N103" s="26">
        <v>0</v>
      </c>
      <c r="O103" s="26"/>
      <c r="P103" s="26"/>
      <c r="Q103" s="23"/>
      <c r="R103" s="23"/>
      <c r="S103" s="23"/>
      <c r="T103" s="23"/>
      <c r="U103" s="23"/>
      <c r="V103" s="23"/>
      <c r="W103" s="26">
        <v>0</v>
      </c>
      <c r="X103" s="26"/>
      <c r="Y103" s="26"/>
      <c r="Z103" s="26">
        <v>0</v>
      </c>
      <c r="AA103" s="46"/>
      <c r="AB103" s="26"/>
      <c r="AC103" s="26">
        <v>0</v>
      </c>
      <c r="AD103" s="46"/>
      <c r="AE103" s="26"/>
      <c r="AF103" s="26">
        <v>0</v>
      </c>
      <c r="AG103" s="46"/>
      <c r="AH103" s="26"/>
      <c r="AI103" s="26">
        <v>0</v>
      </c>
      <c r="AJ103" s="26"/>
      <c r="AK103" s="26"/>
      <c r="AL103" s="26"/>
      <c r="AM103" s="26"/>
      <c r="AN103" s="26"/>
      <c r="AO103" s="23" t="e">
        <f>B103+E103+H103+W103+Z103+AC103+AF103+AI103+#REF!</f>
        <v>#REF!</v>
      </c>
      <c r="AP103" s="3"/>
      <c r="AQ103" s="3"/>
      <c r="AR103" s="3"/>
      <c r="AS103" s="4"/>
      <c r="AT103" s="4"/>
      <c r="AU103" s="4"/>
      <c r="AV103" s="4"/>
      <c r="AW103" s="4"/>
      <c r="AX103" s="4"/>
      <c r="AY103" s="4"/>
    </row>
    <row r="104" spans="1:51" s="5" customFormat="1" ht="14.85" hidden="1" customHeight="1" x14ac:dyDescent="0.25">
      <c r="A104" s="31" t="s">
        <v>87</v>
      </c>
      <c r="B104" s="26">
        <v>0</v>
      </c>
      <c r="C104" s="26"/>
      <c r="D104" s="26"/>
      <c r="E104" s="23"/>
      <c r="F104" s="23"/>
      <c r="G104" s="23"/>
      <c r="H104" s="26">
        <v>0</v>
      </c>
      <c r="I104" s="26"/>
      <c r="J104" s="26"/>
      <c r="K104" s="26">
        <v>0</v>
      </c>
      <c r="L104" s="26"/>
      <c r="M104" s="26"/>
      <c r="N104" s="26">
        <v>0</v>
      </c>
      <c r="O104" s="26"/>
      <c r="P104" s="26"/>
      <c r="Q104" s="23"/>
      <c r="R104" s="23"/>
      <c r="S104" s="23"/>
      <c r="T104" s="23"/>
      <c r="U104" s="23"/>
      <c r="V104" s="23"/>
      <c r="W104" s="26">
        <v>0</v>
      </c>
      <c r="X104" s="26"/>
      <c r="Y104" s="26"/>
      <c r="Z104" s="26">
        <v>0</v>
      </c>
      <c r="AA104" s="46"/>
      <c r="AB104" s="26"/>
      <c r="AC104" s="26">
        <v>0</v>
      </c>
      <c r="AD104" s="46"/>
      <c r="AE104" s="26"/>
      <c r="AF104" s="26">
        <v>0</v>
      </c>
      <c r="AG104" s="46"/>
      <c r="AH104" s="26"/>
      <c r="AI104" s="26">
        <v>0</v>
      </c>
      <c r="AJ104" s="26"/>
      <c r="AK104" s="26"/>
      <c r="AL104" s="26"/>
      <c r="AM104" s="26"/>
      <c r="AN104" s="26"/>
      <c r="AO104" s="23" t="e">
        <f>B104+E104+H104+W104+Z104+AC104+AF104+AI104+#REF!</f>
        <v>#REF!</v>
      </c>
      <c r="AP104" s="3"/>
      <c r="AQ104" s="3"/>
      <c r="AR104" s="3"/>
      <c r="AS104" s="4"/>
      <c r="AT104" s="4"/>
      <c r="AU104" s="4"/>
      <c r="AV104" s="4"/>
      <c r="AW104" s="4"/>
      <c r="AX104" s="4"/>
      <c r="AY104" s="4"/>
    </row>
    <row r="105" spans="1:51" s="5" customFormat="1" ht="14.85" hidden="1" customHeight="1" x14ac:dyDescent="0.25">
      <c r="A105" s="31" t="s">
        <v>88</v>
      </c>
      <c r="B105" s="26">
        <v>0</v>
      </c>
      <c r="C105" s="26"/>
      <c r="D105" s="26"/>
      <c r="E105" s="23">
        <v>0</v>
      </c>
      <c r="F105" s="23"/>
      <c r="G105" s="23"/>
      <c r="H105" s="26">
        <v>0</v>
      </c>
      <c r="I105" s="26"/>
      <c r="J105" s="26"/>
      <c r="K105" s="26">
        <v>0</v>
      </c>
      <c r="L105" s="26"/>
      <c r="M105" s="26"/>
      <c r="N105" s="26">
        <v>0</v>
      </c>
      <c r="O105" s="26"/>
      <c r="P105" s="26"/>
      <c r="Q105" s="23"/>
      <c r="R105" s="23"/>
      <c r="S105" s="23"/>
      <c r="T105" s="23"/>
      <c r="U105" s="23"/>
      <c r="V105" s="23"/>
      <c r="W105" s="26">
        <v>0</v>
      </c>
      <c r="X105" s="26"/>
      <c r="Y105" s="26"/>
      <c r="Z105" s="26">
        <v>0</v>
      </c>
      <c r="AA105" s="46"/>
      <c r="AB105" s="26"/>
      <c r="AC105" s="26"/>
      <c r="AD105" s="46"/>
      <c r="AE105" s="26"/>
      <c r="AF105" s="26">
        <v>0</v>
      </c>
      <c r="AG105" s="46"/>
      <c r="AH105" s="26"/>
      <c r="AI105" s="26">
        <v>0</v>
      </c>
      <c r="AJ105" s="26"/>
      <c r="AK105" s="26"/>
      <c r="AL105" s="26"/>
      <c r="AM105" s="26"/>
      <c r="AN105" s="26"/>
      <c r="AO105" s="23" t="e">
        <f>B105+E105+H105+W105+Z105+AC105+AF105+AI105+#REF!</f>
        <v>#REF!</v>
      </c>
      <c r="AP105" s="3"/>
      <c r="AQ105" s="3"/>
      <c r="AR105" s="3"/>
      <c r="AS105" s="4"/>
      <c r="AT105" s="4"/>
      <c r="AU105" s="4"/>
      <c r="AV105" s="4"/>
      <c r="AW105" s="4"/>
      <c r="AX105" s="4"/>
      <c r="AY105" s="4"/>
    </row>
    <row r="106" spans="1:51" s="5" customFormat="1" ht="14.85" hidden="1" customHeight="1" x14ac:dyDescent="0.25">
      <c r="A106" s="31" t="s">
        <v>75</v>
      </c>
      <c r="B106" s="26">
        <v>0</v>
      </c>
      <c r="C106" s="26"/>
      <c r="D106" s="26"/>
      <c r="E106" s="23"/>
      <c r="F106" s="23"/>
      <c r="G106" s="23"/>
      <c r="H106" s="26">
        <v>0</v>
      </c>
      <c r="I106" s="26"/>
      <c r="J106" s="26"/>
      <c r="K106" s="26">
        <v>0</v>
      </c>
      <c r="L106" s="26"/>
      <c r="M106" s="26"/>
      <c r="N106" s="26">
        <v>0</v>
      </c>
      <c r="O106" s="26"/>
      <c r="P106" s="26"/>
      <c r="Q106" s="23"/>
      <c r="R106" s="23"/>
      <c r="S106" s="23"/>
      <c r="T106" s="23"/>
      <c r="U106" s="23"/>
      <c r="V106" s="23"/>
      <c r="W106" s="26">
        <v>0</v>
      </c>
      <c r="X106" s="26"/>
      <c r="Y106" s="26"/>
      <c r="Z106" s="26">
        <v>0</v>
      </c>
      <c r="AA106" s="46"/>
      <c r="AB106" s="26"/>
      <c r="AC106" s="26">
        <v>0</v>
      </c>
      <c r="AD106" s="46"/>
      <c r="AE106" s="26"/>
      <c r="AF106" s="26">
        <v>0</v>
      </c>
      <c r="AG106" s="46"/>
      <c r="AH106" s="26"/>
      <c r="AI106" s="26">
        <v>0</v>
      </c>
      <c r="AJ106" s="26"/>
      <c r="AK106" s="26"/>
      <c r="AL106" s="26"/>
      <c r="AM106" s="26"/>
      <c r="AN106" s="26"/>
      <c r="AO106" s="23" t="e">
        <f>B106+E106+H106+W106+Z106+AC106+AF106+AI106+#REF!</f>
        <v>#REF!</v>
      </c>
      <c r="AP106" s="3"/>
      <c r="AQ106" s="3"/>
      <c r="AR106" s="3"/>
      <c r="AS106" s="4"/>
      <c r="AT106" s="4"/>
      <c r="AU106" s="4"/>
      <c r="AV106" s="4"/>
      <c r="AW106" s="4"/>
      <c r="AX106" s="4"/>
      <c r="AY106" s="4"/>
    </row>
    <row r="107" spans="1:51" s="5" customFormat="1" ht="14.85" hidden="1" customHeight="1" x14ac:dyDescent="0.25">
      <c r="A107" s="31" t="s">
        <v>89</v>
      </c>
      <c r="B107" s="26">
        <v>0</v>
      </c>
      <c r="C107" s="26"/>
      <c r="D107" s="26"/>
      <c r="E107" s="23"/>
      <c r="F107" s="23"/>
      <c r="G107" s="23"/>
      <c r="H107" s="26">
        <v>0</v>
      </c>
      <c r="I107" s="26"/>
      <c r="J107" s="26"/>
      <c r="K107" s="26">
        <v>0</v>
      </c>
      <c r="L107" s="26"/>
      <c r="M107" s="26"/>
      <c r="N107" s="26">
        <v>0</v>
      </c>
      <c r="O107" s="26"/>
      <c r="P107" s="26"/>
      <c r="Q107" s="23"/>
      <c r="R107" s="23"/>
      <c r="S107" s="23"/>
      <c r="T107" s="23"/>
      <c r="U107" s="23"/>
      <c r="V107" s="23"/>
      <c r="W107" s="26">
        <v>0</v>
      </c>
      <c r="X107" s="26"/>
      <c r="Y107" s="26"/>
      <c r="Z107" s="26">
        <v>0</v>
      </c>
      <c r="AA107" s="46"/>
      <c r="AB107" s="26"/>
      <c r="AC107" s="26">
        <v>0</v>
      </c>
      <c r="AD107" s="46"/>
      <c r="AE107" s="26"/>
      <c r="AF107" s="26">
        <v>0</v>
      </c>
      <c r="AG107" s="46"/>
      <c r="AH107" s="26"/>
      <c r="AI107" s="26">
        <v>0</v>
      </c>
      <c r="AJ107" s="26"/>
      <c r="AK107" s="26"/>
      <c r="AL107" s="26"/>
      <c r="AM107" s="26"/>
      <c r="AN107" s="26"/>
      <c r="AO107" s="23" t="e">
        <f>B107+E107+H107+W107+Z107+AC107+AF107+AI107+#REF!</f>
        <v>#REF!</v>
      </c>
      <c r="AP107" s="3"/>
      <c r="AQ107" s="3"/>
      <c r="AR107" s="3"/>
      <c r="AS107" s="4"/>
      <c r="AT107" s="4"/>
      <c r="AU107" s="4"/>
      <c r="AV107" s="4"/>
      <c r="AW107" s="4"/>
      <c r="AX107" s="4"/>
      <c r="AY107" s="4"/>
    </row>
    <row r="108" spans="1:51" s="5" customFormat="1" ht="14.85" hidden="1" customHeight="1" x14ac:dyDescent="0.25">
      <c r="A108" s="31" t="s">
        <v>90</v>
      </c>
      <c r="B108" s="26">
        <v>0</v>
      </c>
      <c r="C108" s="26"/>
      <c r="D108" s="26"/>
      <c r="E108" s="23"/>
      <c r="F108" s="23"/>
      <c r="G108" s="23"/>
      <c r="H108" s="26">
        <v>0</v>
      </c>
      <c r="I108" s="26"/>
      <c r="J108" s="26"/>
      <c r="K108" s="26">
        <v>0</v>
      </c>
      <c r="L108" s="26"/>
      <c r="M108" s="26"/>
      <c r="N108" s="26">
        <v>0</v>
      </c>
      <c r="O108" s="26"/>
      <c r="P108" s="26"/>
      <c r="Q108" s="23"/>
      <c r="R108" s="23"/>
      <c r="S108" s="23"/>
      <c r="T108" s="23"/>
      <c r="U108" s="23"/>
      <c r="V108" s="23"/>
      <c r="W108" s="26">
        <v>0</v>
      </c>
      <c r="X108" s="26"/>
      <c r="Y108" s="26"/>
      <c r="Z108" s="26">
        <v>0</v>
      </c>
      <c r="AA108" s="46"/>
      <c r="AB108" s="26"/>
      <c r="AC108" s="26">
        <v>0</v>
      </c>
      <c r="AD108" s="46"/>
      <c r="AE108" s="26"/>
      <c r="AF108" s="26">
        <v>0</v>
      </c>
      <c r="AG108" s="46"/>
      <c r="AH108" s="26"/>
      <c r="AI108" s="26">
        <v>0</v>
      </c>
      <c r="AJ108" s="26"/>
      <c r="AK108" s="26"/>
      <c r="AL108" s="26"/>
      <c r="AM108" s="26"/>
      <c r="AN108" s="26"/>
      <c r="AO108" s="23" t="e">
        <f>B108+E108+H108+W108+Z108+AC108+AF108+AI108+#REF!</f>
        <v>#REF!</v>
      </c>
      <c r="AP108" s="3"/>
      <c r="AQ108" s="3"/>
      <c r="AR108" s="3"/>
      <c r="AS108" s="4"/>
      <c r="AT108" s="4"/>
      <c r="AU108" s="4"/>
      <c r="AV108" s="4"/>
      <c r="AW108" s="4"/>
      <c r="AX108" s="4"/>
      <c r="AY108" s="4"/>
    </row>
    <row r="109" spans="1:51" s="5" customFormat="1" ht="14.85" hidden="1" customHeight="1" x14ac:dyDescent="0.25">
      <c r="A109" s="31" t="s">
        <v>91</v>
      </c>
      <c r="B109" s="26">
        <v>0</v>
      </c>
      <c r="C109" s="26"/>
      <c r="D109" s="26"/>
      <c r="E109" s="23"/>
      <c r="F109" s="23"/>
      <c r="G109" s="23"/>
      <c r="H109" s="26">
        <v>0</v>
      </c>
      <c r="I109" s="26"/>
      <c r="J109" s="26"/>
      <c r="K109" s="26">
        <v>0</v>
      </c>
      <c r="L109" s="26"/>
      <c r="M109" s="26"/>
      <c r="N109" s="26">
        <v>0</v>
      </c>
      <c r="O109" s="26"/>
      <c r="P109" s="26"/>
      <c r="Q109" s="23"/>
      <c r="R109" s="23"/>
      <c r="S109" s="23"/>
      <c r="T109" s="23"/>
      <c r="U109" s="23"/>
      <c r="V109" s="23"/>
      <c r="W109" s="26">
        <v>0</v>
      </c>
      <c r="X109" s="26"/>
      <c r="Y109" s="26"/>
      <c r="Z109" s="26">
        <v>0</v>
      </c>
      <c r="AA109" s="46"/>
      <c r="AB109" s="26"/>
      <c r="AC109" s="26">
        <v>0</v>
      </c>
      <c r="AD109" s="46"/>
      <c r="AE109" s="26"/>
      <c r="AF109" s="26">
        <v>0</v>
      </c>
      <c r="AG109" s="46"/>
      <c r="AH109" s="26"/>
      <c r="AI109" s="26">
        <v>0</v>
      </c>
      <c r="AJ109" s="26"/>
      <c r="AK109" s="26"/>
      <c r="AL109" s="26"/>
      <c r="AM109" s="26"/>
      <c r="AN109" s="26"/>
      <c r="AO109" s="23" t="e">
        <f>B109+E109+H109+W109+Z109+AC109+AF109+AI109+#REF!</f>
        <v>#REF!</v>
      </c>
      <c r="AP109" s="3"/>
      <c r="AQ109" s="3"/>
      <c r="AR109" s="3"/>
      <c r="AS109" s="4"/>
      <c r="AT109" s="4"/>
      <c r="AU109" s="4"/>
      <c r="AV109" s="4"/>
      <c r="AW109" s="4"/>
      <c r="AX109" s="4"/>
      <c r="AY109" s="4"/>
    </row>
    <row r="110" spans="1:51" s="30" customFormat="1" ht="16.5" hidden="1" customHeight="1" x14ac:dyDescent="0.2">
      <c r="A110" s="27" t="s">
        <v>92</v>
      </c>
      <c r="B110" s="26">
        <f>B66-B82+B98</f>
        <v>53840</v>
      </c>
      <c r="C110" s="26"/>
      <c r="D110" s="26"/>
      <c r="E110" s="26">
        <f>E66-E82+E98</f>
        <v>18695</v>
      </c>
      <c r="F110" s="26"/>
      <c r="G110" s="26"/>
      <c r="H110" s="26">
        <f>H66-H82+H98</f>
        <v>-16788</v>
      </c>
      <c r="I110" s="26"/>
      <c r="J110" s="26"/>
      <c r="K110" s="26">
        <f>K66-K82+K98</f>
        <v>-29786</v>
      </c>
      <c r="L110" s="26"/>
      <c r="M110" s="26"/>
      <c r="N110" s="26">
        <f>N66-N82+N98</f>
        <v>-7423</v>
      </c>
      <c r="O110" s="26"/>
      <c r="P110" s="26"/>
      <c r="Q110" s="26">
        <f>Q66-Q82+Q98</f>
        <v>11186</v>
      </c>
      <c r="R110" s="26"/>
      <c r="S110" s="26"/>
      <c r="T110" s="26">
        <f>T66-T82+T98</f>
        <v>-26023</v>
      </c>
      <c r="U110" s="26"/>
      <c r="V110" s="26"/>
      <c r="W110" s="26">
        <f>W66-W82+W98</f>
        <v>-26023</v>
      </c>
      <c r="X110" s="26"/>
      <c r="Y110" s="26"/>
      <c r="Z110" s="26">
        <f>Z66-Z82+Z98</f>
        <v>-9539</v>
      </c>
      <c r="AA110" s="46"/>
      <c r="AB110" s="26"/>
      <c r="AC110" s="32">
        <f>AC66-AC82+AC98</f>
        <v>-22803</v>
      </c>
      <c r="AD110" s="54"/>
      <c r="AE110" s="32"/>
      <c r="AF110" s="26">
        <f>AF66-AF82+AF98</f>
        <v>-11814</v>
      </c>
      <c r="AG110" s="46"/>
      <c r="AH110" s="26"/>
      <c r="AI110" s="26">
        <f>AI66-AI82+AI98</f>
        <v>1112</v>
      </c>
      <c r="AJ110" s="26"/>
      <c r="AK110" s="26"/>
      <c r="AL110" s="26"/>
      <c r="AM110" s="26"/>
      <c r="AN110" s="26"/>
      <c r="AO110" s="26" t="e">
        <f>AO66-AO82+AO98</f>
        <v>#REF!</v>
      </c>
      <c r="AP110" s="26"/>
      <c r="AQ110" s="26"/>
      <c r="AR110" s="96"/>
      <c r="AS110" s="29"/>
      <c r="AT110" s="29"/>
      <c r="AU110" s="29"/>
      <c r="AV110" s="29"/>
      <c r="AW110" s="29"/>
      <c r="AX110" s="29"/>
      <c r="AY110" s="29"/>
    </row>
    <row r="111" spans="1:51" s="5" customFormat="1" ht="14.85" hidden="1" customHeight="1" x14ac:dyDescent="0.25">
      <c r="A111" s="1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5"/>
      <c r="R111" s="35"/>
      <c r="S111" s="35"/>
      <c r="T111" s="39"/>
      <c r="U111" s="39"/>
      <c r="V111" s="39"/>
      <c r="W111" s="39"/>
      <c r="X111" s="39"/>
      <c r="Y111" s="39"/>
      <c r="Z111" s="39"/>
      <c r="AA111" s="48"/>
      <c r="AB111" s="39"/>
      <c r="AC111" s="39"/>
      <c r="AD111" s="48"/>
      <c r="AE111" s="39"/>
      <c r="AF111" s="39"/>
      <c r="AG111" s="48"/>
      <c r="AH111" s="39"/>
      <c r="AI111" s="39"/>
      <c r="AJ111" s="39"/>
      <c r="AK111" s="39"/>
      <c r="AL111" s="39"/>
      <c r="AM111" s="39"/>
      <c r="AN111" s="39"/>
      <c r="AO111" s="2"/>
      <c r="AP111" s="3"/>
      <c r="AQ111" s="3"/>
      <c r="AR111" s="3"/>
      <c r="AS111" s="4"/>
      <c r="AT111" s="4"/>
      <c r="AU111" s="4"/>
      <c r="AV111" s="4"/>
      <c r="AW111" s="4"/>
      <c r="AX111" s="4"/>
      <c r="AY111" s="4"/>
    </row>
    <row r="112" spans="1:51" s="5" customFormat="1" ht="14.85" customHeight="1" x14ac:dyDescent="0.25">
      <c r="A112" s="1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5"/>
      <c r="R112" s="35"/>
      <c r="S112" s="35"/>
      <c r="T112" s="39"/>
      <c r="U112" s="39"/>
      <c r="V112" s="39"/>
      <c r="W112" s="39"/>
      <c r="X112" s="39"/>
      <c r="Y112" s="39"/>
      <c r="Z112" s="39"/>
      <c r="AA112" s="48"/>
      <c r="AB112" s="39"/>
      <c r="AC112" s="39"/>
      <c r="AD112" s="48"/>
      <c r="AE112" s="39"/>
      <c r="AF112" s="39"/>
      <c r="AG112" s="48"/>
      <c r="AH112" s="39"/>
      <c r="AI112" s="39"/>
      <c r="AJ112" s="39"/>
      <c r="AK112" s="39"/>
      <c r="AL112" s="39"/>
      <c r="AM112" s="39"/>
      <c r="AN112" s="39"/>
      <c r="AO112" s="2"/>
      <c r="AP112" s="3"/>
      <c r="AQ112" s="3"/>
      <c r="AR112" s="3"/>
      <c r="AS112" s="4"/>
      <c r="AT112" s="4"/>
      <c r="AU112" s="4"/>
      <c r="AV112" s="4"/>
      <c r="AW112" s="4"/>
      <c r="AX112" s="4"/>
      <c r="AY112" s="4"/>
    </row>
    <row r="113" spans="1:58" s="5" customFormat="1" ht="14.85" customHeight="1" x14ac:dyDescent="0.25">
      <c r="A113" s="1" t="s">
        <v>115</v>
      </c>
      <c r="B113" s="40"/>
      <c r="C113" s="40"/>
      <c r="D113" s="40"/>
      <c r="E113" s="40"/>
      <c r="F113" s="40"/>
      <c r="G113" s="40"/>
      <c r="H113" s="40"/>
      <c r="I113" s="40"/>
      <c r="J113" s="40"/>
      <c r="K113" s="3"/>
      <c r="L113" s="3"/>
      <c r="M113" s="3"/>
      <c r="N113" s="3"/>
      <c r="O113" s="3"/>
      <c r="P113" s="3"/>
      <c r="Q113" s="3"/>
      <c r="R113" s="3"/>
      <c r="S113" s="3"/>
      <c r="T113" s="40"/>
      <c r="U113" s="40"/>
      <c r="V113" s="40"/>
      <c r="W113" s="40"/>
      <c r="X113" s="40"/>
      <c r="Y113" s="40"/>
      <c r="Z113" s="40"/>
      <c r="AA113" s="49"/>
      <c r="AB113" s="40"/>
      <c r="AC113" s="40"/>
      <c r="AD113" s="49"/>
      <c r="AE113" s="40"/>
      <c r="AF113" s="40"/>
      <c r="AG113" s="49"/>
      <c r="AH113" s="40"/>
      <c r="AI113" s="40"/>
      <c r="AJ113" s="40"/>
      <c r="AK113" s="40"/>
      <c r="AL113" s="40"/>
      <c r="AM113" s="40"/>
      <c r="AN113" s="40"/>
      <c r="AO113" s="40"/>
      <c r="AP113" s="3"/>
      <c r="AQ113" s="3"/>
      <c r="AR113" s="3"/>
      <c r="AS113" s="4"/>
      <c r="AT113" s="4"/>
      <c r="AU113" s="4"/>
      <c r="AV113" s="4"/>
      <c r="AW113" s="4"/>
      <c r="AX113" s="4"/>
      <c r="AY113" s="4"/>
    </row>
    <row r="114" spans="1:58" s="5" customFormat="1" ht="14.85" customHeight="1" x14ac:dyDescent="0.25">
      <c r="A114" s="1"/>
      <c r="B114" s="40"/>
      <c r="C114" s="40"/>
      <c r="D114" s="40"/>
      <c r="E114" s="40"/>
      <c r="F114" s="40"/>
      <c r="G114" s="40"/>
      <c r="H114" s="40"/>
      <c r="I114" s="40"/>
      <c r="J114" s="40"/>
      <c r="K114" s="3"/>
      <c r="L114" s="3"/>
      <c r="M114" s="3"/>
      <c r="N114" s="3"/>
      <c r="O114" s="3"/>
      <c r="P114" s="3"/>
      <c r="Q114" s="3"/>
      <c r="R114" s="3"/>
      <c r="S114" s="3"/>
      <c r="T114" s="40"/>
      <c r="U114" s="40"/>
      <c r="V114" s="40"/>
      <c r="W114" s="40"/>
      <c r="X114" s="40"/>
      <c r="Y114" s="40"/>
      <c r="Z114" s="40"/>
      <c r="AA114" s="49"/>
      <c r="AB114" s="40"/>
      <c r="AC114" s="40"/>
      <c r="AD114" s="49"/>
      <c r="AE114" s="40"/>
      <c r="AF114" s="40"/>
      <c r="AG114" s="49"/>
      <c r="AH114" s="40"/>
      <c r="AI114" s="40"/>
      <c r="AJ114" s="40"/>
      <c r="AK114" s="40"/>
      <c r="AL114" s="40"/>
      <c r="AM114" s="40"/>
      <c r="AN114" s="40"/>
      <c r="AO114" s="40"/>
      <c r="AP114" s="3"/>
      <c r="AQ114" s="3"/>
      <c r="AR114" s="3"/>
      <c r="AS114" s="4"/>
      <c r="AT114" s="4"/>
      <c r="AU114" s="4"/>
      <c r="AV114" s="4"/>
      <c r="AW114" s="4"/>
      <c r="AX114" s="4"/>
      <c r="AY114" s="4"/>
    </row>
    <row r="115" spans="1:58" s="5" customFormat="1" ht="14.85" customHeight="1" x14ac:dyDescent="0.25">
      <c r="A115" s="4" t="s">
        <v>93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50"/>
      <c r="AB115" s="3"/>
      <c r="AC115" s="3"/>
      <c r="AD115" s="50"/>
      <c r="AE115" s="3"/>
      <c r="AF115" s="3"/>
      <c r="AG115" s="50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4"/>
      <c r="AT115" s="4"/>
      <c r="AU115" s="4"/>
      <c r="AV115" s="4"/>
      <c r="AW115" s="4"/>
      <c r="AX115" s="4"/>
      <c r="AY115" s="4"/>
    </row>
    <row r="116" spans="1:58" s="5" customFormat="1" ht="14.85" customHeight="1" x14ac:dyDescent="0.25">
      <c r="A116" s="4" t="s">
        <v>94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50"/>
      <c r="AB116" s="3"/>
      <c r="AC116" s="3"/>
      <c r="AD116" s="50"/>
      <c r="AE116" s="3"/>
      <c r="AF116" s="3"/>
      <c r="AG116" s="50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4"/>
      <c r="AT116" s="4"/>
      <c r="AU116" s="4"/>
      <c r="AV116" s="4"/>
      <c r="AW116" s="4"/>
      <c r="AX116" s="4"/>
      <c r="AY116" s="4"/>
    </row>
    <row r="117" spans="1:58" ht="14.85" customHeight="1" x14ac:dyDescent="0.25">
      <c r="A117" s="4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50"/>
      <c r="AB117" s="3"/>
      <c r="AC117" s="3"/>
      <c r="AD117" s="50"/>
      <c r="AE117" s="3"/>
      <c r="AF117" s="3"/>
      <c r="AG117" s="50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4"/>
      <c r="AT117" s="4"/>
      <c r="AU117" s="4"/>
      <c r="AV117" s="4"/>
      <c r="AW117" s="4"/>
      <c r="AX117" s="4"/>
      <c r="AY117" s="4"/>
      <c r="AZ117" s="5"/>
      <c r="BA117" s="5"/>
      <c r="BB117" s="5"/>
      <c r="BC117" s="5"/>
      <c r="BD117" s="5"/>
      <c r="BE117" s="5"/>
      <c r="BF117" s="5"/>
    </row>
  </sheetData>
  <mergeCells count="28">
    <mergeCell ref="AF7:AH7"/>
    <mergeCell ref="AI7:AK7"/>
    <mergeCell ref="Q7:S7"/>
    <mergeCell ref="T7:V7"/>
    <mergeCell ref="W7:Y7"/>
    <mergeCell ref="Z7:AB7"/>
    <mergeCell ref="AC7:AE7"/>
    <mergeCell ref="B7:D7"/>
    <mergeCell ref="E7:G7"/>
    <mergeCell ref="H7:J7"/>
    <mergeCell ref="K7:M7"/>
    <mergeCell ref="N7:P7"/>
    <mergeCell ref="AO7:AQ7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AF27:AH27"/>
    <mergeCell ref="AI27:AK27"/>
    <mergeCell ref="AO27:AQ27"/>
    <mergeCell ref="AL27:AN27"/>
    <mergeCell ref="AL7:AN7"/>
  </mergeCells>
  <pageMargins left="0.35433070866141736" right="0.31496062992125984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Berbécs Ibolya</cp:lastModifiedBy>
  <cp:lastPrinted>2018-05-18T09:17:54Z</cp:lastPrinted>
  <dcterms:created xsi:type="dcterms:W3CDTF">2016-11-17T10:15:42Z</dcterms:created>
  <dcterms:modified xsi:type="dcterms:W3CDTF">2018-05-18T09:18:00Z</dcterms:modified>
</cp:coreProperties>
</file>